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0785" windowHeight="9525" firstSheet="1" activeTab="2"/>
  </bookViews>
  <sheets>
    <sheet name="Summary Financials" sheetId="4" r:id="rId1"/>
    <sheet name="Startup Invest. &amp; Annual Costs" sheetId="1" r:id="rId2"/>
    <sheet name="Drug &amp; Service Assumptions" sheetId="3" r:id="rId3"/>
    <sheet name="All Treatments by Month" sheetId="2" r:id="rId4"/>
    <sheet name="Reslizumab by Mo" sheetId="7" r:id="rId5"/>
    <sheet name="IVIG by Mo" sheetId="5" r:id="rId6"/>
    <sheet name="IV Steroid by Mo" sheetId="6" r:id="rId7"/>
  </sheets>
  <definedNames>
    <definedName name="Annual_Cost_Yr1_T1">'Startup Invest. &amp; Annual Costs'!$D$19</definedName>
    <definedName name="Annual_Cost_Yr1_T2">'Startup Invest. &amp; Annual Costs'!$F$19</definedName>
    <definedName name="Annual_Cost_Yr1_T3">'Startup Invest. &amp; Annual Costs'!$H$19</definedName>
    <definedName name="Annual_Cost_Yr2_T1">'Startup Invest. &amp; Annual Costs'!$D$20</definedName>
    <definedName name="Annual_Cost_Yr2_T2">'Startup Invest. &amp; Annual Costs'!$F$20</definedName>
    <definedName name="Annual_Cost_Yr2_T3">'Startup Invest. &amp; Annual Costs'!$H$20</definedName>
    <definedName name="BE_All_Treatments">'All Treatments by Month'!$D$20</definedName>
    <definedName name="BE_Treatment_1" localSheetId="4">'Reslizumab by Mo'!$D$20</definedName>
    <definedName name="BE_Treatment_2" localSheetId="5">'IVIG by Mo'!$D$20</definedName>
    <definedName name="BE_Treatment_3" localSheetId="6">'IV Steroid by Mo'!$D$20</definedName>
    <definedName name="Capital_Investment_1">'Startup Invest. &amp; Annual Costs'!$D$9</definedName>
    <definedName name="Capital_Investment_2">'Startup Invest. &amp; Annual Costs'!$F$9</definedName>
    <definedName name="Capital_Investment_3">'Startup Invest. &amp; Annual Costs'!$H$9</definedName>
    <definedName name="Cost_1">'Drug &amp; Service Assumptions'!$E$31</definedName>
    <definedName name="Cost_2">'Drug &amp; Service Assumptions'!$H$31</definedName>
    <definedName name="Cost_3">'Drug &amp; Service Assumptions'!$K$31</definedName>
    <definedName name="Price_1">'Drug &amp; Service Assumptions'!$E$30</definedName>
    <definedName name="Price_2">'Drug &amp; Service Assumptions'!$H$30</definedName>
    <definedName name="Price_3">'Drug &amp; Service Assumptions'!$K$30</definedName>
    <definedName name="Startup_Investment">'All Treatments by Month'!$D$10</definedName>
    <definedName name="Startup_Investment1">'Startup Invest. &amp; Annual Costs'!$D$15</definedName>
    <definedName name="Startup_Investment2">'Startup Invest. &amp; Annual Costs'!$F$15</definedName>
    <definedName name="Startup_Investment3">'Startup Invest. &amp; Annual Costs'!$H$15</definedName>
  </definedNames>
  <calcPr calcId="14562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/>
  <c r="E12"/>
  <c r="F12"/>
  <c r="D9" i="1"/>
  <c r="D13" i="4"/>
  <c r="E13"/>
  <c r="F13"/>
  <c r="F15"/>
  <c r="D18"/>
  <c r="E18"/>
  <c r="F18"/>
  <c r="F20"/>
  <c r="D15" i="1"/>
  <c r="D10" i="7"/>
  <c r="F9" i="1"/>
  <c r="F15"/>
  <c r="D10" i="5"/>
  <c r="H9" i="1"/>
  <c r="H15"/>
  <c r="D10" i="6"/>
  <c r="D10" i="2"/>
  <c r="F22" i="4"/>
  <c r="F24"/>
  <c r="F26"/>
  <c r="R3" i="6"/>
  <c r="S3"/>
  <c r="T3"/>
  <c r="U3"/>
  <c r="V3"/>
  <c r="W3"/>
  <c r="X3"/>
  <c r="Y3"/>
  <c r="Z3"/>
  <c r="AA3"/>
  <c r="AB3"/>
  <c r="R3" i="5"/>
  <c r="S3"/>
  <c r="T3"/>
  <c r="U3"/>
  <c r="V3"/>
  <c r="W3"/>
  <c r="X3"/>
  <c r="Y3"/>
  <c r="Z3"/>
  <c r="AA3"/>
  <c r="AB3"/>
  <c r="K3" i="3"/>
  <c r="K4"/>
  <c r="H3"/>
  <c r="H4"/>
  <c r="E9"/>
  <c r="K9"/>
  <c r="H9"/>
  <c r="E3"/>
  <c r="AB8" i="6"/>
  <c r="P8"/>
  <c r="AB8" i="5"/>
  <c r="P8"/>
  <c r="AB8" i="7"/>
  <c r="P8"/>
  <c r="E30" i="3"/>
  <c r="AB5" i="7"/>
  <c r="E4" i="3"/>
  <c r="E13"/>
  <c r="E31"/>
  <c r="AB7" i="7"/>
  <c r="AB10"/>
  <c r="AA5"/>
  <c r="AA7"/>
  <c r="AA10"/>
  <c r="Z5"/>
  <c r="Z7"/>
  <c r="Z10"/>
  <c r="Y5"/>
  <c r="Y7"/>
  <c r="Y10"/>
  <c r="X5"/>
  <c r="X7"/>
  <c r="X10"/>
  <c r="W5"/>
  <c r="W7"/>
  <c r="W10"/>
  <c r="V5"/>
  <c r="V7"/>
  <c r="V10"/>
  <c r="U5"/>
  <c r="U7"/>
  <c r="U10"/>
  <c r="T5"/>
  <c r="T7"/>
  <c r="T10"/>
  <c r="S5"/>
  <c r="S7"/>
  <c r="S10"/>
  <c r="R5"/>
  <c r="R7"/>
  <c r="R10"/>
  <c r="Q5"/>
  <c r="Q7"/>
  <c r="Q10"/>
  <c r="P5"/>
  <c r="P7"/>
  <c r="P10"/>
  <c r="O5"/>
  <c r="O7"/>
  <c r="O10"/>
  <c r="N5"/>
  <c r="N7"/>
  <c r="N10"/>
  <c r="M5"/>
  <c r="M7"/>
  <c r="M10"/>
  <c r="L5"/>
  <c r="L7"/>
  <c r="L10"/>
  <c r="K5"/>
  <c r="K7"/>
  <c r="K10"/>
  <c r="J5"/>
  <c r="J7"/>
  <c r="J10"/>
  <c r="I5"/>
  <c r="I7"/>
  <c r="I10"/>
  <c r="H5"/>
  <c r="H7"/>
  <c r="H10"/>
  <c r="G5"/>
  <c r="G7"/>
  <c r="G10"/>
  <c r="F5"/>
  <c r="F7"/>
  <c r="F10"/>
  <c r="H30" i="3"/>
  <c r="AB5" i="5"/>
  <c r="H13" i="3"/>
  <c r="H31"/>
  <c r="AB7" i="5"/>
  <c r="AB10"/>
  <c r="AA5"/>
  <c r="AA7"/>
  <c r="AA10"/>
  <c r="Z5"/>
  <c r="Z7"/>
  <c r="Z10"/>
  <c r="Y5"/>
  <c r="Y7"/>
  <c r="Y10"/>
  <c r="X5"/>
  <c r="X7"/>
  <c r="X10"/>
  <c r="W5"/>
  <c r="W7"/>
  <c r="W10"/>
  <c r="V5"/>
  <c r="V7"/>
  <c r="V10"/>
  <c r="U5"/>
  <c r="U7"/>
  <c r="U10"/>
  <c r="T5"/>
  <c r="T7"/>
  <c r="T10"/>
  <c r="S5"/>
  <c r="S7"/>
  <c r="S10"/>
  <c r="R5"/>
  <c r="R7"/>
  <c r="R10"/>
  <c r="Q5"/>
  <c r="Q7"/>
  <c r="Q10"/>
  <c r="P5"/>
  <c r="P7"/>
  <c r="P10"/>
  <c r="O5"/>
  <c r="O7"/>
  <c r="O10"/>
  <c r="N5"/>
  <c r="N7"/>
  <c r="N10"/>
  <c r="M5"/>
  <c r="M7"/>
  <c r="M10"/>
  <c r="L5"/>
  <c r="L7"/>
  <c r="L10"/>
  <c r="K5"/>
  <c r="K7"/>
  <c r="K10"/>
  <c r="J5"/>
  <c r="J7"/>
  <c r="J10"/>
  <c r="I5"/>
  <c r="I7"/>
  <c r="I10"/>
  <c r="H5"/>
  <c r="H7"/>
  <c r="H10"/>
  <c r="G5"/>
  <c r="G7"/>
  <c r="G10"/>
  <c r="F5"/>
  <c r="F7"/>
  <c r="F10"/>
  <c r="K30" i="3"/>
  <c r="AB5" i="6"/>
  <c r="K13" i="3"/>
  <c r="K31"/>
  <c r="AB7" i="6"/>
  <c r="AB10"/>
  <c r="AA5"/>
  <c r="AA7"/>
  <c r="AA10"/>
  <c r="Z5"/>
  <c r="Z7"/>
  <c r="Z10"/>
  <c r="Y5"/>
  <c r="Y7"/>
  <c r="Y10"/>
  <c r="X5"/>
  <c r="X7"/>
  <c r="X10"/>
  <c r="W5"/>
  <c r="W7"/>
  <c r="W10"/>
  <c r="V5"/>
  <c r="V7"/>
  <c r="V10"/>
  <c r="U5"/>
  <c r="U7"/>
  <c r="U10"/>
  <c r="T5"/>
  <c r="T7"/>
  <c r="T10"/>
  <c r="S5"/>
  <c r="S7"/>
  <c r="S10"/>
  <c r="R5"/>
  <c r="R7"/>
  <c r="R10"/>
  <c r="Q5"/>
  <c r="Q7"/>
  <c r="Q10"/>
  <c r="P5"/>
  <c r="P7"/>
  <c r="P10"/>
  <c r="O5"/>
  <c r="O7"/>
  <c r="O10"/>
  <c r="N5"/>
  <c r="N7"/>
  <c r="N10"/>
  <c r="M5"/>
  <c r="M7"/>
  <c r="M10"/>
  <c r="L5"/>
  <c r="L7"/>
  <c r="L10"/>
  <c r="K5"/>
  <c r="K7"/>
  <c r="K10"/>
  <c r="J5"/>
  <c r="J7"/>
  <c r="J10"/>
  <c r="I5"/>
  <c r="I7"/>
  <c r="I10"/>
  <c r="H5"/>
  <c r="H7"/>
  <c r="H10"/>
  <c r="G5"/>
  <c r="G7"/>
  <c r="G10"/>
  <c r="F5"/>
  <c r="F7"/>
  <c r="F10"/>
  <c r="AB8" i="2"/>
  <c r="AB5"/>
  <c r="AB7"/>
  <c r="AB10"/>
  <c r="AA5"/>
  <c r="AA7"/>
  <c r="AA10"/>
  <c r="Z5"/>
  <c r="Z7"/>
  <c r="Z10"/>
  <c r="Y5"/>
  <c r="Y7"/>
  <c r="Y10"/>
  <c r="X5"/>
  <c r="X7"/>
  <c r="X10"/>
  <c r="W5"/>
  <c r="W7"/>
  <c r="W10"/>
  <c r="V5"/>
  <c r="V7"/>
  <c r="V10"/>
  <c r="U5"/>
  <c r="U7"/>
  <c r="U10"/>
  <c r="T5"/>
  <c r="T7"/>
  <c r="T10"/>
  <c r="S5"/>
  <c r="S7"/>
  <c r="S10"/>
  <c r="R5"/>
  <c r="R7"/>
  <c r="R10"/>
  <c r="Q5"/>
  <c r="Q7"/>
  <c r="Q10"/>
  <c r="P8"/>
  <c r="P5"/>
  <c r="P7"/>
  <c r="P10"/>
  <c r="O5"/>
  <c r="O7"/>
  <c r="O10"/>
  <c r="N5"/>
  <c r="N7"/>
  <c r="N10"/>
  <c r="M5"/>
  <c r="M7"/>
  <c r="M10"/>
  <c r="L5"/>
  <c r="L7"/>
  <c r="L10"/>
  <c r="K5"/>
  <c r="K7"/>
  <c r="K10"/>
  <c r="J5"/>
  <c r="J7"/>
  <c r="J10"/>
  <c r="I5"/>
  <c r="I7"/>
  <c r="I10"/>
  <c r="H5"/>
  <c r="H7"/>
  <c r="H10"/>
  <c r="G5"/>
  <c r="G7"/>
  <c r="G10"/>
  <c r="F5"/>
  <c r="F7"/>
  <c r="F10"/>
  <c r="E5" i="7"/>
  <c r="E7"/>
  <c r="E10"/>
  <c r="E5" i="5"/>
  <c r="E7"/>
  <c r="E10"/>
  <c r="E5" i="6"/>
  <c r="E7"/>
  <c r="E10"/>
  <c r="E5" i="2"/>
  <c r="E7"/>
  <c r="E10"/>
  <c r="AA8"/>
  <c r="Z8"/>
  <c r="Y8"/>
  <c r="X8"/>
  <c r="W8"/>
  <c r="V8"/>
  <c r="U8"/>
  <c r="T8"/>
  <c r="S8"/>
  <c r="R8"/>
  <c r="Q8"/>
  <c r="O8"/>
  <c r="N8"/>
  <c r="M8"/>
  <c r="L8"/>
  <c r="K8"/>
  <c r="J8"/>
  <c r="I8"/>
  <c r="H8"/>
  <c r="G8"/>
  <c r="F8"/>
  <c r="E8"/>
  <c r="D5" i="4"/>
  <c r="E5"/>
  <c r="F5"/>
  <c r="D7"/>
  <c r="E7"/>
  <c r="F7"/>
  <c r="F9"/>
  <c r="E9"/>
  <c r="E15"/>
  <c r="D9"/>
  <c r="D15"/>
  <c r="N3" i="2"/>
  <c r="K32" i="3"/>
  <c r="K33"/>
  <c r="H32"/>
  <c r="H33"/>
  <c r="E32"/>
  <c r="E33"/>
  <c r="AB3" i="2"/>
  <c r="AA3"/>
  <c r="Z3"/>
  <c r="Y3"/>
  <c r="X3"/>
  <c r="W3"/>
  <c r="V3"/>
  <c r="U3"/>
  <c r="T3"/>
  <c r="S3"/>
  <c r="R3"/>
  <c r="Q3"/>
  <c r="P3"/>
  <c r="O3"/>
  <c r="M3"/>
  <c r="L3"/>
  <c r="K3"/>
  <c r="J3"/>
  <c r="I3"/>
  <c r="H3"/>
  <c r="G3"/>
  <c r="F3"/>
  <c r="E3"/>
  <c r="D12" i="6"/>
  <c r="E12"/>
  <c r="E18"/>
  <c r="F12"/>
  <c r="F18"/>
  <c r="G12"/>
  <c r="G18"/>
  <c r="H12"/>
  <c r="H18"/>
  <c r="I12"/>
  <c r="I18"/>
  <c r="J12"/>
  <c r="J18"/>
  <c r="K12"/>
  <c r="K18"/>
  <c r="L12"/>
  <c r="L18"/>
  <c r="M12"/>
  <c r="M18"/>
  <c r="N12"/>
  <c r="N18"/>
  <c r="O12"/>
  <c r="O18"/>
  <c r="P12"/>
  <c r="P18"/>
  <c r="Q12"/>
  <c r="Q18"/>
  <c r="R12"/>
  <c r="R18"/>
  <c r="S12"/>
  <c r="S18"/>
  <c r="T12"/>
  <c r="T18"/>
  <c r="U12"/>
  <c r="U18"/>
  <c r="V12"/>
  <c r="V18"/>
  <c r="W12"/>
  <c r="W18"/>
  <c r="X12"/>
  <c r="X18"/>
  <c r="Y12"/>
  <c r="Y18"/>
  <c r="Z12"/>
  <c r="Z18"/>
  <c r="AA12"/>
  <c r="AA18"/>
  <c r="AB12"/>
  <c r="AB18"/>
  <c r="D18"/>
  <c r="D20"/>
  <c r="D12" i="7"/>
  <c r="E12"/>
  <c r="E18"/>
  <c r="F12"/>
  <c r="F18"/>
  <c r="G12"/>
  <c r="G18"/>
  <c r="H12"/>
  <c r="H18"/>
  <c r="I12"/>
  <c r="I18"/>
  <c r="J12"/>
  <c r="J18"/>
  <c r="K12"/>
  <c r="K18"/>
  <c r="L12"/>
  <c r="L18"/>
  <c r="M12"/>
  <c r="M18"/>
  <c r="N12"/>
  <c r="N18"/>
  <c r="O12"/>
  <c r="O18"/>
  <c r="P12"/>
  <c r="P18"/>
  <c r="Q12"/>
  <c r="Q18"/>
  <c r="R12"/>
  <c r="R18"/>
  <c r="S12"/>
  <c r="S18"/>
  <c r="T12"/>
  <c r="T18"/>
  <c r="U12"/>
  <c r="U18"/>
  <c r="V12"/>
  <c r="V18"/>
  <c r="W12"/>
  <c r="W18"/>
  <c r="X12"/>
  <c r="X18"/>
  <c r="Y12"/>
  <c r="Y18"/>
  <c r="Z12"/>
  <c r="Z18"/>
  <c r="AA12"/>
  <c r="AA18"/>
  <c r="AB12"/>
  <c r="AB18"/>
  <c r="D18"/>
  <c r="D20"/>
  <c r="K26" i="3"/>
  <c r="K27"/>
  <c r="K20"/>
  <c r="K21"/>
  <c r="K14"/>
  <c r="K15"/>
  <c r="K5"/>
  <c r="K6"/>
  <c r="H26"/>
  <c r="H27"/>
  <c r="H20"/>
  <c r="H21"/>
  <c r="H14"/>
  <c r="H15"/>
  <c r="H5"/>
  <c r="H6"/>
  <c r="R3" i="7"/>
  <c r="S3"/>
  <c r="T3"/>
  <c r="U3"/>
  <c r="V3"/>
  <c r="W3"/>
  <c r="X3"/>
  <c r="Y3"/>
  <c r="Z3"/>
  <c r="AA3"/>
  <c r="AB3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AB17" i="6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D12" i="5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D3" i="4"/>
  <c r="E3"/>
  <c r="F3"/>
  <c r="D12" i="2"/>
  <c r="E12"/>
  <c r="E18"/>
  <c r="F12"/>
  <c r="F18"/>
  <c r="G12"/>
  <c r="G18"/>
  <c r="H12"/>
  <c r="H18"/>
  <c r="I12"/>
  <c r="I18"/>
  <c r="J12"/>
  <c r="J18"/>
  <c r="K12"/>
  <c r="K18"/>
  <c r="L12"/>
  <c r="L18"/>
  <c r="M12"/>
  <c r="M18"/>
  <c r="N12"/>
  <c r="N18"/>
  <c r="O12"/>
  <c r="O18"/>
  <c r="P12"/>
  <c r="P18"/>
  <c r="Q12"/>
  <c r="Q18"/>
  <c r="R12"/>
  <c r="R18"/>
  <c r="S12"/>
  <c r="S18"/>
  <c r="T12"/>
  <c r="T18"/>
  <c r="U12"/>
  <c r="U18"/>
  <c r="V12"/>
  <c r="V18"/>
  <c r="W12"/>
  <c r="W18"/>
  <c r="X12"/>
  <c r="X18"/>
  <c r="Y12"/>
  <c r="Y18"/>
  <c r="Z12"/>
  <c r="Z18"/>
  <c r="AA12"/>
  <c r="AA18"/>
  <c r="AB12"/>
  <c r="AB18"/>
  <c r="D18"/>
  <c r="E14" i="3"/>
  <c r="E15"/>
  <c r="E5"/>
  <c r="E6"/>
  <c r="E20"/>
  <c r="E21"/>
  <c r="E26"/>
  <c r="E27"/>
  <c r="AB17" i="2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7"/>
  <c r="D16"/>
  <c r="F16" i="4"/>
  <c r="E16"/>
  <c r="D16"/>
  <c r="F10"/>
  <c r="E10"/>
  <c r="D10"/>
  <c r="E20"/>
  <c r="D20"/>
  <c r="D20" i="2"/>
  <c r="F28" i="4"/>
  <c r="D20" i="5"/>
</calcChain>
</file>

<file path=xl/sharedStrings.xml><?xml version="1.0" encoding="utf-8"?>
<sst xmlns="http://schemas.openxmlformats.org/spreadsheetml/2006/main" count="427" uniqueCount="163">
  <si>
    <t>Infusion Chair</t>
  </si>
  <si>
    <t>Infusion Pump</t>
  </si>
  <si>
    <t>Blood Pressure Monitor</t>
  </si>
  <si>
    <t>Back-up Generator</t>
  </si>
  <si>
    <t>Other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</si>
  <si>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</si>
  <si>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</si>
  <si>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</si>
  <si>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</si>
  <si>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</si>
  <si>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</si>
  <si>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</si>
  <si>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</si>
  <si>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</si>
  <si>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</si>
  <si>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</si>
  <si>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</si>
  <si>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</si>
  <si>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</si>
  <si>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</si>
  <si>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</si>
  <si>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</si>
  <si>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</si>
  <si>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</si>
  <si>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</si>
  <si>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</si>
  <si>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</si>
  <si>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</si>
  <si>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</si>
  <si>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Drug</t>
  </si>
  <si>
    <t>Price to Patient</t>
  </si>
  <si>
    <t>Cost to Practice</t>
  </si>
  <si>
    <t>Service</t>
  </si>
  <si>
    <t>Rate</t>
  </si>
  <si>
    <t>Supplies</t>
  </si>
  <si>
    <t>Time (in hours)</t>
  </si>
  <si>
    <t>Margin</t>
  </si>
  <si>
    <t>Margin %</t>
  </si>
  <si>
    <t>Capital Equipment</t>
  </si>
  <si>
    <t>Patient Entertainment</t>
  </si>
  <si>
    <t>Total</t>
  </si>
  <si>
    <t>Cash Flow</t>
  </si>
  <si>
    <t>Net Treatments</t>
  </si>
  <si>
    <t>Clinician Training</t>
  </si>
  <si>
    <t>Billing</t>
  </si>
  <si>
    <t>Year 1</t>
  </si>
  <si>
    <t>Year 2</t>
  </si>
  <si>
    <t>Income</t>
  </si>
  <si>
    <t>Cost of Sales</t>
  </si>
  <si>
    <t>Depreciation</t>
  </si>
  <si>
    <t>Pretax Income</t>
  </si>
  <si>
    <t>Startup Investment</t>
  </si>
  <si>
    <t>Pretax Return</t>
  </si>
  <si>
    <t>Pretax ROI</t>
  </si>
  <si>
    <t xml:space="preserve">  Percentage</t>
  </si>
  <si>
    <t>Total Treatment</t>
  </si>
  <si>
    <t>(1)</t>
  </si>
  <si>
    <t>Additional Startup Costs</t>
  </si>
  <si>
    <t>Notes:</t>
  </si>
  <si>
    <t>(2)</t>
  </si>
  <si>
    <t>Input cells</t>
  </si>
  <si>
    <t>Addback Depreciation</t>
  </si>
  <si>
    <t>Drug Inventory</t>
  </si>
  <si>
    <t>0</t>
  </si>
  <si>
    <t>Break-Even Month</t>
  </si>
  <si>
    <t>Capital Investment</t>
  </si>
  <si>
    <t>(3)</t>
  </si>
  <si>
    <t>Consult your tax advisor for rate of federal income tax depreciation, which might be faster than the straight-line method used in this illustration.</t>
  </si>
  <si>
    <t>Time value of money not considered.</t>
  </si>
  <si>
    <t>Return computations are before income taxes.</t>
  </si>
  <si>
    <t>Two vials at price to patient of $852 per vial.</t>
  </si>
  <si>
    <t>Two vials at cost to practice of $835 per vial.</t>
  </si>
  <si>
    <t>Patient billed $85 for office visit and $75 (1 hour) for infusion treatment.</t>
  </si>
  <si>
    <t>(4)</t>
  </si>
  <si>
    <t>Cost of billing considered incidental to price of office visit and infusion treatment,</t>
  </si>
  <si>
    <t xml:space="preserve"> so marginal revenue and cost assumptions are both zero.</t>
  </si>
  <si>
    <t>Start-up Investment</t>
  </si>
  <si>
    <t>Subject to patient scheduling and length of infusion treatment, initial capital equipment</t>
  </si>
  <si>
    <t xml:space="preserve">  setup expected to provide sufficient capacity to treat 3 patients per day.</t>
  </si>
  <si>
    <t>Chart Data</t>
  </si>
  <si>
    <t>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</si>
  <si>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</si>
  <si>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</si>
  <si>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</si>
  <si>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</si>
  <si>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</si>
  <si>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</si>
  <si>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</si>
  <si>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</si>
  <si>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</si>
  <si>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</si>
  <si>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</si>
  <si>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</si>
  <si>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</si>
  <si>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</si>
  <si>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</si>
  <si>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</si>
  <si>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</si>
  <si>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</si>
  <si>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</si>
  <si>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</si>
  <si>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</si>
  <si>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</si>
  <si>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</si>
  <si>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</si>
  <si>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Cumulative Cash Flow</t>
  </si>
  <si>
    <t>Monthly Cash Flow</t>
  </si>
  <si>
    <t>Setup 1
Est. Cost</t>
  </si>
  <si>
    <t>Setup 2
Est. Cost</t>
  </si>
  <si>
    <t>Setup 3
Est. Cost</t>
  </si>
  <si>
    <t>(5)</t>
  </si>
  <si>
    <t>(6)</t>
  </si>
  <si>
    <t>(7)</t>
  </si>
  <si>
    <t>(8)</t>
  </si>
  <si>
    <t>(9)</t>
  </si>
  <si>
    <t>(10)</t>
  </si>
  <si>
    <t>This sheet represents a summary of Treatments 1, 2, and 3 by month.</t>
  </si>
  <si>
    <t>The first sheet in this workbook, Summary Financials, represents an annual summarization of the monthly data on this sheet, All Treatments by Month.</t>
  </si>
  <si>
    <t>This sheet, Summary Financials, represents an annual summarization of the monthly data on the All Treatments by Month sheet in this workbook.</t>
  </si>
  <si>
    <t>Notes</t>
  </si>
  <si>
    <t>(A)</t>
  </si>
  <si>
    <t>(B)</t>
  </si>
  <si>
    <t>(C)</t>
  </si>
  <si>
    <t>(A), (1)</t>
  </si>
  <si>
    <t>(A), (5)</t>
  </si>
  <si>
    <t>(B), (2)</t>
  </si>
  <si>
    <t>(B), (6)</t>
  </si>
  <si>
    <t>(C), (3)</t>
  </si>
  <si>
    <t>(C), (7)</t>
  </si>
  <si>
    <r>
      <t>Summary Financials - All Treatments</t>
    </r>
    <r>
      <rPr>
        <b/>
        <vertAlign val="superscript"/>
        <sz val="9"/>
        <color theme="1"/>
        <rFont val="Calibri"/>
        <family val="2"/>
      </rPr>
      <t xml:space="preserve"> (1)</t>
    </r>
  </si>
  <si>
    <t>Cost of Drug and Service to Practice</t>
  </si>
  <si>
    <t>Recurring Annual Costs</t>
  </si>
  <si>
    <t>Equipment Calibration</t>
  </si>
  <si>
    <t>Some payers do not permit infusion fees.</t>
  </si>
  <si>
    <t>Drug costs dependent upon source (distributor or manufacturer) and contract terms, and they can fluctuate frequently.</t>
  </si>
  <si>
    <t>Reimbursement rates vary widely by payer and geographical location.</t>
  </si>
  <si>
    <t>(A), (8)</t>
  </si>
  <si>
    <t>(B), (9)</t>
  </si>
  <si>
    <t>(C), (10)</t>
  </si>
  <si>
    <r>
      <t>All Treatments - Cash Flow Economics</t>
    </r>
    <r>
      <rPr>
        <b/>
        <vertAlign val="superscript"/>
        <sz val="9"/>
        <color theme="1"/>
        <rFont val="Calibri"/>
        <family val="2"/>
      </rPr>
      <t xml:space="preserve"> (1), (2)</t>
    </r>
  </si>
  <si>
    <t>Reimbursement from Payer</t>
  </si>
  <si>
    <t>IVIG</t>
  </si>
  <si>
    <t>Reslizumab</t>
  </si>
  <si>
    <t>IV Steroid</t>
  </si>
  <si>
    <t>Patient billed $85 for office visit and $147 (4 hours) for infusion treatment.</t>
  </si>
  <si>
    <t>Patient billed $85 for office visit and $81 (1 hour) for infusion treatment.</t>
  </si>
  <si>
    <t>For a 150 lb patient, dosage of 30.6 grams at $92.33 per gram.</t>
  </si>
  <si>
    <t>For a 150 lb patient, dosage of 30.6 grams at $68.81 per gram.</t>
  </si>
  <si>
    <t>For a 150 lb patient, dosage of 2.04 grams at $40.50 per gram.</t>
  </si>
  <si>
    <t>For a 150 lb patient, dosage of 2.04 grams at $50.00 per gram.</t>
  </si>
  <si>
    <t>Number of Treatments</t>
  </si>
  <si>
    <t>Estimated annual cost of calibrating infusion pump.</t>
  </si>
  <si>
    <t>Estimated annual cost of calibrating infusion pump for each capital equipment setup.</t>
  </si>
  <si>
    <t>Equipment Calibration, Other (as deemed necessary)</t>
  </si>
  <si>
    <t>Add other recurring annual costs as necessary.</t>
  </si>
  <si>
    <t>Reslizumab - Cash Flow Economics</t>
  </si>
  <si>
    <t>IVIG - Cash Flow Economics</t>
  </si>
  <si>
    <t>IV Steroid - Cash Flow Economics</t>
  </si>
  <si>
    <t>Inventory of 10 treatments (average of 2 vials per treatment at $835 per vial), which represents</t>
  </si>
  <si>
    <t>Inventory of 10 treatments (30.6 grams per treatment at $68.81 per gram), which represents 1/2</t>
  </si>
  <si>
    <t>Inventory of 10 treatments (2.04 grams per treatment at $40.50 per gram), which represents 1/2</t>
  </si>
  <si>
    <t xml:space="preserve">  1/2 of peak monthly patient volume, which means inventory must be restocked twice per month.</t>
  </si>
  <si>
    <t xml:space="preserve">  of peak monthly patient volume, which means inventory must be restocked twice per month.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</si>
</sst>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u val="doub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3F3F76"/>
      <name val="Calibri"/>
      <family val="2"/>
    </font>
    <font>
      <b/>
      <sz val="11"/>
      <color theme="1"/>
      <name val="Calibri"/>
      <family val="2"/>
    </font>
    <font>
      <u val="double"/>
      <sz val="11"/>
      <color theme="1"/>
      <name val="Calibri"/>
      <family val="2"/>
    </font>
    <font>
      <u val="singleAccounting"/>
      <sz val="11"/>
      <color rgb="FF3F3F76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vertAlign val="superscript"/>
      <sz val="9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1" applyNumberFormat="0" applyAlignment="0" applyProtection="0"/>
  </cellStyleXfs>
  <cellXfs count="42">
    <xf numFmtId="0" fontId="0" fillId="0" borderId="0" xfId="0"/>
    <xf numFmtId="43" fontId="0" fillId="0" borderId="0" xfId="1" applyFont="1"/>
    <xf numFmtId="44" fontId="0" fillId="0" borderId="0" xfId="2" applyFont="1"/>
    <xf numFmtId="44" fontId="0" fillId="0" borderId="0" xfId="0" applyNumberFormat="1"/>
    <xf numFmtId="0" fontId="0" fillId="0" borderId="0" xfId="0" applyAlignment="1">
      <alignment horizontal="center"/>
    </xf>
    <xf numFmtId="164" fontId="4" fillId="0" borderId="0" xfId="3" applyNumberFormat="1" applyFont="1"/>
    <xf numFmtId="0" fontId="4" fillId="0" borderId="0" xfId="0" applyFont="1"/>
    <xf numFmtId="43" fontId="0" fillId="0" borderId="0" xfId="0" applyNumberFormat="1"/>
    <xf numFmtId="1" fontId="0" fillId="0" borderId="0" xfId="1" applyNumberFormat="1" applyFont="1" applyAlignment="1">
      <alignment horizontal="center"/>
    </xf>
    <xf numFmtId="44" fontId="3" fillId="0" borderId="0" xfId="2" applyFont="1"/>
    <xf numFmtId="44" fontId="5" fillId="2" borderId="1" xfId="4" applyNumberFormat="1"/>
    <xf numFmtId="1" fontId="5" fillId="2" borderId="1" xfId="4" applyNumberFormat="1" applyAlignment="1">
      <alignment horizontal="center"/>
    </xf>
    <xf numFmtId="43" fontId="5" fillId="2" borderId="1" xfId="4" applyNumberFormat="1"/>
    <xf numFmtId="43" fontId="5" fillId="2" borderId="1" xfId="1" applyFont="1" applyFill="1" applyBorder="1"/>
    <xf numFmtId="0" fontId="6" fillId="0" borderId="0" xfId="0" applyFont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49" fontId="5" fillId="2" borderId="1" xfId="4" applyNumberFormat="1"/>
    <xf numFmtId="43" fontId="8" fillId="2" borderId="1" xfId="4" applyNumberFormat="1" applyFont="1"/>
    <xf numFmtId="165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65" fontId="3" fillId="0" borderId="0" xfId="2" applyNumberFormat="1" applyFont="1"/>
    <xf numFmtId="165" fontId="0" fillId="0" borderId="0" xfId="2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0" fillId="0" borderId="0" xfId="0" applyFont="1"/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44" fontId="5" fillId="2" borderId="1" xfId="2" applyFont="1" applyFill="1" applyBorder="1"/>
    <xf numFmtId="0" fontId="10" fillId="0" borderId="0" xfId="0" applyFont="1" applyAlignment="1">
      <alignment horizontal="left"/>
    </xf>
    <xf numFmtId="0" fontId="12" fillId="0" borderId="0" xfId="0" applyFont="1"/>
    <xf numFmtId="9" fontId="7" fillId="0" borderId="0" xfId="3" applyNumberFormat="1" applyFont="1" applyAlignment="1">
      <alignment horizontal="right"/>
    </xf>
    <xf numFmtId="0" fontId="6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Break-Even Cash Flow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'All Treatments by Month'!$B$16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'All Treatments by Month'!$C$15:$AB$15</c:f>
              <c:strCache>
                <c:ptCount val="26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strCache>
            </c:strRef>
          </c:cat>
          <c:val>
            <c:numRef>
              <c:f>'All Treatments by Month'!$C$16:$AB$16</c:f>
              <c:numCache>
                <c:formatCode>_(* #,##0.00_);_(* \(#,##0.00\);_(* "-"??_);_(@_)</c:formatCode>
                <c:ptCount val="26"/>
                <c:pt idx="1">
                  <c:v>0</c:v>
                </c:pt>
                <c:pt idx="2">
                  <c:v>5204.2980000000007</c:v>
                </c:pt>
                <c:pt idx="3">
                  <c:v>10408.596000000001</c:v>
                </c:pt>
                <c:pt idx="4">
                  <c:v>15612.894</c:v>
                </c:pt>
                <c:pt idx="5">
                  <c:v>20817.192000000003</c:v>
                </c:pt>
                <c:pt idx="6">
                  <c:v>26021.49</c:v>
                </c:pt>
                <c:pt idx="7">
                  <c:v>31225.788</c:v>
                </c:pt>
                <c:pt idx="8">
                  <c:v>41634.384000000005</c:v>
                </c:pt>
                <c:pt idx="9">
                  <c:v>52042.98</c:v>
                </c:pt>
                <c:pt idx="10">
                  <c:v>62451.576000000001</c:v>
                </c:pt>
                <c:pt idx="11">
                  <c:v>72860.172000000006</c:v>
                </c:pt>
                <c:pt idx="12">
                  <c:v>83268.768000000011</c:v>
                </c:pt>
                <c:pt idx="13">
                  <c:v>93677.364000000001</c:v>
                </c:pt>
                <c:pt idx="14">
                  <c:v>104085.96</c:v>
                </c:pt>
                <c:pt idx="15">
                  <c:v>104085.96</c:v>
                </c:pt>
                <c:pt idx="16">
                  <c:v>104085.96</c:v>
                </c:pt>
                <c:pt idx="17">
                  <c:v>104085.96</c:v>
                </c:pt>
                <c:pt idx="18">
                  <c:v>104085.96</c:v>
                </c:pt>
                <c:pt idx="19">
                  <c:v>104085.96</c:v>
                </c:pt>
                <c:pt idx="20">
                  <c:v>104085.96</c:v>
                </c:pt>
                <c:pt idx="21">
                  <c:v>104085.96</c:v>
                </c:pt>
                <c:pt idx="22">
                  <c:v>104085.96</c:v>
                </c:pt>
                <c:pt idx="23">
                  <c:v>104085.96</c:v>
                </c:pt>
                <c:pt idx="24">
                  <c:v>104085.96</c:v>
                </c:pt>
                <c:pt idx="25">
                  <c:v>104085.96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C5-420E-9257-FEE58DD0C8FC}"/>
            </c:ext>
          </c:extLst>
        </c:ser>
        <c:ser>
          <c:idx val="1"/>
          <c:order val="1"/>
          <c:tx>
            <c:strRef>
              <c:f>'All Treatments by Month'!$B$17</c:f>
              <c:strCache>
                <c:ptCount val="1"/>
                <c:pt idx="0">
                  <c:v>Cost of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'All Treatments by Month'!$C$15:$AB$15</c:f>
              <c:strCache>
                <c:ptCount val="26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strCache>
            </c:strRef>
          </c:cat>
          <c:val>
            <c:numRef>
              <c:f>'All Treatments by Month'!$C$17:$AB$17</c:f>
              <c:numCache>
                <c:formatCode>_(* #,##0.00_);_(* \(#,##0.00\);_(* "-"??_);_(@_)</c:formatCode>
                <c:ptCount val="26"/>
                <c:pt idx="1">
                  <c:v>0</c:v>
                </c:pt>
                <c:pt idx="2">
                  <c:v>4035.7060000000001</c:v>
                </c:pt>
                <c:pt idx="3">
                  <c:v>8071.4120000000003</c:v>
                </c:pt>
                <c:pt idx="4">
                  <c:v>12107.118000000002</c:v>
                </c:pt>
                <c:pt idx="5">
                  <c:v>16142.824000000001</c:v>
                </c:pt>
                <c:pt idx="6">
                  <c:v>20178.53</c:v>
                </c:pt>
                <c:pt idx="7">
                  <c:v>24214.236000000004</c:v>
                </c:pt>
                <c:pt idx="8">
                  <c:v>32285.648000000001</c:v>
                </c:pt>
                <c:pt idx="9">
                  <c:v>40357.06</c:v>
                </c:pt>
                <c:pt idx="10">
                  <c:v>48428.472000000009</c:v>
                </c:pt>
                <c:pt idx="11">
                  <c:v>56499.884000000005</c:v>
                </c:pt>
                <c:pt idx="12">
                  <c:v>64571.296000000002</c:v>
                </c:pt>
                <c:pt idx="13">
                  <c:v>72642.708000000013</c:v>
                </c:pt>
                <c:pt idx="14">
                  <c:v>80714.12</c:v>
                </c:pt>
                <c:pt idx="15">
                  <c:v>80714.12</c:v>
                </c:pt>
                <c:pt idx="16">
                  <c:v>80714.12</c:v>
                </c:pt>
                <c:pt idx="17">
                  <c:v>80714.12</c:v>
                </c:pt>
                <c:pt idx="18">
                  <c:v>80714.12</c:v>
                </c:pt>
                <c:pt idx="19">
                  <c:v>80714.12</c:v>
                </c:pt>
                <c:pt idx="20">
                  <c:v>80714.12</c:v>
                </c:pt>
                <c:pt idx="21">
                  <c:v>80714.12</c:v>
                </c:pt>
                <c:pt idx="22">
                  <c:v>80714.12</c:v>
                </c:pt>
                <c:pt idx="23">
                  <c:v>80714.12</c:v>
                </c:pt>
                <c:pt idx="24">
                  <c:v>80714.12</c:v>
                </c:pt>
                <c:pt idx="25">
                  <c:v>80714.12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C5-420E-9257-FEE58DD0C8FC}"/>
            </c:ext>
          </c:extLst>
        </c:ser>
        <c:ser>
          <c:idx val="2"/>
          <c:order val="2"/>
          <c:tx>
            <c:strRef>
              <c:f>'All Treatments by Month'!$B$18</c:f>
              <c:strCache>
                <c:ptCount val="1"/>
                <c:pt idx="0">
                  <c:v>Cash Flow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'All Treatments by Month'!$C$15:$AB$15</c:f>
              <c:strCache>
                <c:ptCount val="26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strCache>
            </c:strRef>
          </c:cat>
          <c:val>
            <c:numRef>
              <c:f>'All Treatments by Month'!$C$18:$AB$18</c:f>
              <c:numCache>
                <c:formatCode>_(* #,##0.00_);_(* \(#,##0.00\);_(* "-"??_);_(@_)</c:formatCode>
                <c:ptCount val="26"/>
                <c:pt idx="1">
                  <c:v>-52083.199999999997</c:v>
                </c:pt>
                <c:pt idx="2">
                  <c:v>-50914.607999999993</c:v>
                </c:pt>
                <c:pt idx="3">
                  <c:v>-48577.423999999992</c:v>
                </c:pt>
                <c:pt idx="4">
                  <c:v>-45071.647999999994</c:v>
                </c:pt>
                <c:pt idx="5">
                  <c:v>-40397.279999999992</c:v>
                </c:pt>
                <c:pt idx="6">
                  <c:v>-34554.319999999992</c:v>
                </c:pt>
                <c:pt idx="7">
                  <c:v>-27542.767999999996</c:v>
                </c:pt>
                <c:pt idx="8">
                  <c:v>-18194.031999999992</c:v>
                </c:pt>
                <c:pt idx="9">
                  <c:v>-6508.1119999999864</c:v>
                </c:pt>
                <c:pt idx="10">
                  <c:v>7514.9920000000056</c:v>
                </c:pt>
                <c:pt idx="11">
                  <c:v>23875.280000000006</c:v>
                </c:pt>
                <c:pt idx="12">
                  <c:v>42572.752000000015</c:v>
                </c:pt>
                <c:pt idx="13">
                  <c:v>63107.408000000003</c:v>
                </c:pt>
                <c:pt idx="14">
                  <c:v>86479.248000000021</c:v>
                </c:pt>
                <c:pt idx="15">
                  <c:v>109851.08800000003</c:v>
                </c:pt>
                <c:pt idx="16">
                  <c:v>133222.92800000004</c:v>
                </c:pt>
                <c:pt idx="17">
                  <c:v>156594.76800000004</c:v>
                </c:pt>
                <c:pt idx="18">
                  <c:v>179966.60800000007</c:v>
                </c:pt>
                <c:pt idx="19">
                  <c:v>203338.44800000009</c:v>
                </c:pt>
                <c:pt idx="20">
                  <c:v>226710.28800000012</c:v>
                </c:pt>
                <c:pt idx="21">
                  <c:v>250082.12800000014</c:v>
                </c:pt>
                <c:pt idx="22">
                  <c:v>273453.96800000017</c:v>
                </c:pt>
                <c:pt idx="23">
                  <c:v>296825.80800000019</c:v>
                </c:pt>
                <c:pt idx="24">
                  <c:v>320197.64800000022</c:v>
                </c:pt>
                <c:pt idx="25">
                  <c:v>343069.48800000024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C5-420E-9257-FEE58DD0C8FC}"/>
            </c:ext>
          </c:extLst>
        </c:ser>
        <c:dLbls/>
        <c:gapWidth val="219"/>
        <c:overlap val="-27"/>
        <c:axId val="56365824"/>
        <c:axId val="56367360"/>
      </c:barChart>
      <c:catAx>
        <c:axId val="56365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7360"/>
        <c:crosses val="autoZero"/>
        <c:auto val="1"/>
        <c:lblAlgn val="ctr"/>
        <c:lblOffset val="100"/>
      </c:catAx>
      <c:valAx>
        <c:axId val="56367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600074</xdr:colOff>
      <xdr:row>18</xdr:row>
      <xdr:rowOff>180975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FFFF2827-2FF1-4DAD-8AF3-0A11E4FD9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workbookViewId="0">
      <selection activeCell="B1" sqref="B1"/>
    </sheetView>
  </sheetViews>
  <sheetFormatPr defaultRowHeight="15"/>
  <cols>
    <col min="1" max="2" width="2.7109375" customWidth="1"/>
    <col min="3" max="3" width="24.7109375" customWidth="1"/>
    <col min="4" max="5" width="12.28515625" customWidth="1"/>
    <col min="6" max="6" width="12.28515625" bestFit="1" customWidth="1"/>
    <col min="7" max="7" width="6.7109375" style="29" customWidth="1"/>
  </cols>
  <sheetData>
    <row r="1" spans="1:7">
      <c r="A1" s="14" t="s">
        <v>129</v>
      </c>
      <c r="D1" s="4"/>
      <c r="E1" s="4"/>
      <c r="F1" s="4"/>
    </row>
    <row r="2" spans="1:7">
      <c r="D2" s="24" t="s">
        <v>45</v>
      </c>
      <c r="E2" s="24" t="s">
        <v>46</v>
      </c>
      <c r="F2" s="24" t="s">
        <v>40</v>
      </c>
      <c r="G2" s="36" t="s">
        <v>119</v>
      </c>
    </row>
    <row r="3" spans="1:7">
      <c r="A3" s="14" t="s">
        <v>150</v>
      </c>
      <c r="D3" s="8">
        <f>SUM('All Treatments by Month'!E3:P3)</f>
        <v>297</v>
      </c>
      <c r="E3" s="8">
        <f>SUM('All Treatments by Month'!Q3:AB3)</f>
        <v>720</v>
      </c>
      <c r="F3" s="8">
        <f>D3+E3</f>
        <v>1017</v>
      </c>
    </row>
    <row r="5" spans="1:7">
      <c r="A5" t="s">
        <v>47</v>
      </c>
      <c r="D5" s="19">
        <f>SUM('All Treatments by Month'!E5:P5)</f>
        <v>515225.50200000004</v>
      </c>
      <c r="E5" s="19">
        <f>SUM('All Treatments by Month'!Q5:AB5)</f>
        <v>1249031.5199999998</v>
      </c>
      <c r="F5" s="19">
        <f>D5+E5</f>
        <v>1764257.0219999999</v>
      </c>
    </row>
    <row r="6" spans="1:7">
      <c r="D6" s="19"/>
      <c r="E6" s="19"/>
      <c r="F6" s="19"/>
    </row>
    <row r="7" spans="1:7" ht="17.25">
      <c r="B7" t="s">
        <v>48</v>
      </c>
      <c r="D7" s="21">
        <f>-SUM('All Treatments by Month'!E7:P7)</f>
        <v>-399534.89399999997</v>
      </c>
      <c r="E7" s="21">
        <f>-SUM('All Treatments by Month'!Q7:AB7)</f>
        <v>-968569.44</v>
      </c>
      <c r="F7" s="21">
        <f>SUM(D7:E7)</f>
        <v>-1368104.3339999998</v>
      </c>
    </row>
    <row r="8" spans="1:7">
      <c r="D8" s="7"/>
      <c r="E8" s="7"/>
      <c r="F8" s="7"/>
    </row>
    <row r="9" spans="1:7">
      <c r="A9" s="14" t="s">
        <v>36</v>
      </c>
      <c r="D9" s="20">
        <f>D5+D7</f>
        <v>115690.60800000007</v>
      </c>
      <c r="E9" s="20">
        <f>E5+E7</f>
        <v>280462.07999999984</v>
      </c>
      <c r="F9" s="20">
        <f>F5+F7</f>
        <v>396152.68800000008</v>
      </c>
    </row>
    <row r="10" spans="1:7">
      <c r="A10" s="6" t="s">
        <v>54</v>
      </c>
      <c r="B10" s="6"/>
      <c r="D10" s="5">
        <f>D9/D5</f>
        <v>0.22454363681710782</v>
      </c>
      <c r="E10" s="5">
        <f>E9/E5</f>
        <v>0.22454363681710762</v>
      </c>
      <c r="F10" s="5">
        <f>F9/F5</f>
        <v>0.22454363681710776</v>
      </c>
    </row>
    <row r="11" spans="1:7">
      <c r="A11" s="6"/>
      <c r="B11" s="6"/>
      <c r="D11" s="5"/>
      <c r="E11" s="5"/>
      <c r="F11" s="5"/>
    </row>
    <row r="12" spans="1:7">
      <c r="A12" s="6"/>
      <c r="B12" s="34" t="s">
        <v>132</v>
      </c>
      <c r="D12" s="20">
        <f>-Annual_Cost_Yr1_T1-Annual_Cost_Yr1_T2-Annual_Cost_Yr1_T3</f>
        <v>-500</v>
      </c>
      <c r="E12" s="20">
        <f>-Annual_Cost_Yr2_T1-Annual_Cost_Yr2_T2-Annual_Cost_Yr2_T3</f>
        <v>-500</v>
      </c>
      <c r="F12" s="20">
        <f>SUM(D12:E12)</f>
        <v>-1000</v>
      </c>
      <c r="G12" s="29" t="s">
        <v>59</v>
      </c>
    </row>
    <row r="13" spans="1:7" ht="17.25">
      <c r="B13" t="s">
        <v>49</v>
      </c>
      <c r="D13" s="21">
        <f>-Capital_Investment_1/3</f>
        <v>-2500</v>
      </c>
      <c r="E13" s="21">
        <f>-Capital_Investment_1/3</f>
        <v>-2500</v>
      </c>
      <c r="F13" s="21">
        <f>SUM(D13:E13)</f>
        <v>-5000</v>
      </c>
      <c r="G13" s="29" t="s">
        <v>66</v>
      </c>
    </row>
    <row r="14" spans="1:7">
      <c r="D14" s="7"/>
      <c r="E14" s="7"/>
      <c r="F14" s="7"/>
    </row>
    <row r="15" spans="1:7">
      <c r="A15" s="14" t="s">
        <v>50</v>
      </c>
      <c r="D15" s="20">
        <f>D9+SUM(D12:D13)</f>
        <v>112690.60800000007</v>
      </c>
      <c r="E15" s="20">
        <f>E9+SUM(E12:E13)</f>
        <v>277462.07999999984</v>
      </c>
      <c r="F15" s="20">
        <f>F9+SUM(F12:F13)</f>
        <v>390152.68800000008</v>
      </c>
    </row>
    <row r="16" spans="1:7">
      <c r="A16" s="6" t="s">
        <v>54</v>
      </c>
      <c r="B16" s="6"/>
      <c r="D16" s="5">
        <f>D15/D5</f>
        <v>0.21872094366943828</v>
      </c>
      <c r="E16" s="5">
        <f>E15/E5</f>
        <v>0.22214177589369394</v>
      </c>
      <c r="F16" s="5">
        <f>F15/F5</f>
        <v>0.2211427717928052</v>
      </c>
    </row>
    <row r="17" spans="1:7">
      <c r="A17" s="6"/>
      <c r="B17" s="6"/>
      <c r="D17" s="5"/>
      <c r="E17" s="5"/>
      <c r="F17" s="5"/>
    </row>
    <row r="18" spans="1:7" ht="17.25">
      <c r="B18" t="s">
        <v>61</v>
      </c>
      <c r="D18" s="21">
        <f>Capital_Investment_1/3</f>
        <v>2500</v>
      </c>
      <c r="E18" s="21">
        <f>Capital_Investment_1/3</f>
        <v>2500</v>
      </c>
      <c r="F18" s="21">
        <f>SUM(D18:E18)</f>
        <v>5000</v>
      </c>
      <c r="G18" s="29" t="s">
        <v>66</v>
      </c>
    </row>
    <row r="20" spans="1:7" ht="17.25">
      <c r="A20" s="14" t="s">
        <v>41</v>
      </c>
      <c r="D20" s="22">
        <f>D15+D18</f>
        <v>115190.60800000007</v>
      </c>
      <c r="E20" s="22">
        <f>E15+E18</f>
        <v>279962.07999999984</v>
      </c>
      <c r="F20" s="23">
        <f>F15+F18</f>
        <v>395152.68800000008</v>
      </c>
      <c r="G20" s="29" t="s">
        <v>73</v>
      </c>
    </row>
    <row r="22" spans="1:7">
      <c r="A22" t="s">
        <v>51</v>
      </c>
      <c r="D22" s="3"/>
      <c r="E22" s="3"/>
      <c r="F22" s="19">
        <f>Startup_Investment</f>
        <v>-52083.199999999997</v>
      </c>
    </row>
    <row r="24" spans="1:7" ht="17.25">
      <c r="A24" t="s">
        <v>52</v>
      </c>
      <c r="F24" s="22">
        <f>F20+F22</f>
        <v>343069.48800000007</v>
      </c>
      <c r="G24" s="29" t="s">
        <v>110</v>
      </c>
    </row>
    <row r="26" spans="1:7">
      <c r="A26" t="s">
        <v>53</v>
      </c>
      <c r="F26" s="40">
        <f>F24/-F22</f>
        <v>6.5869510321946443</v>
      </c>
      <c r="G26" s="29" t="s">
        <v>110</v>
      </c>
    </row>
    <row r="28" spans="1:7">
      <c r="A28" t="s">
        <v>64</v>
      </c>
      <c r="D28" s="4"/>
      <c r="F28" s="26" t="str">
        <f>'All Treatments by Month'!D20</f>
        <v>9</v>
      </c>
    </row>
    <row r="30" spans="1:7" s="32" customFormat="1" ht="12">
      <c r="A30" s="31" t="s">
        <v>58</v>
      </c>
      <c r="B30" s="31"/>
      <c r="G30" s="29"/>
    </row>
    <row r="31" spans="1:7" s="32" customFormat="1" ht="12">
      <c r="B31" s="33" t="s">
        <v>56</v>
      </c>
      <c r="C31" s="32" t="s">
        <v>118</v>
      </c>
      <c r="G31" s="30"/>
    </row>
    <row r="32" spans="1:7" s="32" customFormat="1" ht="12">
      <c r="B32" s="33" t="s">
        <v>59</v>
      </c>
      <c r="C32" s="32" t="s">
        <v>151</v>
      </c>
      <c r="G32" s="30"/>
    </row>
    <row r="33" spans="2:7" s="32" customFormat="1" ht="12">
      <c r="B33" s="33" t="s">
        <v>66</v>
      </c>
      <c r="C33" s="32" t="s">
        <v>67</v>
      </c>
      <c r="G33" s="30"/>
    </row>
    <row r="34" spans="2:7" s="32" customFormat="1" ht="12">
      <c r="B34" s="33" t="s">
        <v>73</v>
      </c>
      <c r="C34" s="32" t="s">
        <v>68</v>
      </c>
      <c r="G34" s="30"/>
    </row>
    <row r="35" spans="2:7" s="32" customFormat="1" ht="12">
      <c r="B35" s="33" t="s">
        <v>110</v>
      </c>
      <c r="C35" s="32" t="s">
        <v>69</v>
      </c>
      <c r="G35" s="30"/>
    </row>
  </sheetData>
  <pageMargins left="0.25" right="0.25" top="0.75" bottom="0.75" header="0.3" footer="0.3"/>
  <pageSetup scale="91" orientation="landscape" horizontalDpi="0" verticalDpi="0" r:id="rId1"/>
  <ignoredErrors>
    <ignoredError sqref="B31:B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topLeftCell="A13" workbookViewId="0">
      <selection activeCell="N36" sqref="N36"/>
    </sheetView>
  </sheetViews>
  <sheetFormatPr defaultRowHeight="15"/>
  <cols>
    <col min="1" max="2" width="2.7109375" customWidth="1"/>
    <col min="3" max="3" width="24.7109375" customWidth="1"/>
    <col min="4" max="4" width="11.5703125" bestFit="1" customWidth="1"/>
    <col min="5" max="5" width="5.140625" style="30" bestFit="1" customWidth="1"/>
    <col min="6" max="6" width="11.5703125" customWidth="1"/>
    <col min="7" max="7" width="5.140625" style="30" customWidth="1"/>
    <col min="8" max="8" width="11.5703125" customWidth="1"/>
    <col min="9" max="9" width="5.140625" style="30" customWidth="1"/>
  </cols>
  <sheetData>
    <row r="1" spans="1:9">
      <c r="E1" s="38" t="s">
        <v>119</v>
      </c>
      <c r="G1" s="38" t="s">
        <v>119</v>
      </c>
      <c r="I1" s="38" t="s">
        <v>119</v>
      </c>
    </row>
    <row r="2" spans="1:9" ht="30">
      <c r="A2" s="14" t="s">
        <v>38</v>
      </c>
      <c r="B2" s="14"/>
      <c r="D2" s="16" t="s">
        <v>107</v>
      </c>
      <c r="E2" s="29" t="s">
        <v>56</v>
      </c>
      <c r="F2" s="16" t="s">
        <v>108</v>
      </c>
      <c r="G2" s="29" t="s">
        <v>56</v>
      </c>
      <c r="H2" s="16" t="s">
        <v>109</v>
      </c>
      <c r="I2" s="29" t="s">
        <v>56</v>
      </c>
    </row>
    <row r="3" spans="1:9">
      <c r="B3" t="s">
        <v>0</v>
      </c>
      <c r="D3" s="10">
        <v>1593</v>
      </c>
      <c r="F3" s="10">
        <v>0</v>
      </c>
      <c r="H3" s="10">
        <v>0</v>
      </c>
    </row>
    <row r="4" spans="1:9">
      <c r="B4" t="s">
        <v>1</v>
      </c>
      <c r="D4" s="12">
        <v>1804</v>
      </c>
      <c r="F4" s="12">
        <v>0</v>
      </c>
      <c r="H4" s="12">
        <v>0</v>
      </c>
    </row>
    <row r="5" spans="1:9">
      <c r="B5" t="s">
        <v>2</v>
      </c>
      <c r="D5" s="12">
        <v>1593</v>
      </c>
      <c r="F5" s="12">
        <v>0</v>
      </c>
      <c r="H5" s="12">
        <v>0</v>
      </c>
    </row>
    <row r="6" spans="1:9">
      <c r="B6" t="s">
        <v>39</v>
      </c>
      <c r="D6" s="12">
        <v>1593</v>
      </c>
      <c r="F6" s="12">
        <v>0</v>
      </c>
      <c r="H6" s="12">
        <v>0</v>
      </c>
    </row>
    <row r="7" spans="1:9">
      <c r="B7" t="s">
        <v>3</v>
      </c>
      <c r="D7" s="12">
        <v>743</v>
      </c>
      <c r="F7" s="12">
        <v>0</v>
      </c>
      <c r="H7" s="12">
        <v>0</v>
      </c>
    </row>
    <row r="8" spans="1:9" ht="17.25">
      <c r="B8" t="s">
        <v>4</v>
      </c>
      <c r="D8" s="18">
        <v>174</v>
      </c>
      <c r="F8" s="18">
        <v>0</v>
      </c>
      <c r="H8" s="18">
        <v>0</v>
      </c>
    </row>
    <row r="9" spans="1:9">
      <c r="C9" t="s">
        <v>65</v>
      </c>
      <c r="D9" s="1">
        <f>SUM(D3:D8)</f>
        <v>7500</v>
      </c>
      <c r="F9" s="1">
        <f>SUM(F3:F8)</f>
        <v>0</v>
      </c>
      <c r="H9" s="1">
        <f>SUM(H3:H8)</f>
        <v>0</v>
      </c>
    </row>
    <row r="10" spans="1:9">
      <c r="D10" s="1"/>
      <c r="F10" s="1"/>
      <c r="H10" s="1"/>
    </row>
    <row r="11" spans="1:9">
      <c r="A11" s="14" t="s">
        <v>57</v>
      </c>
      <c r="B11" s="14"/>
      <c r="D11" s="1"/>
      <c r="F11" s="1"/>
      <c r="H11" s="1"/>
    </row>
    <row r="12" spans="1:9">
      <c r="B12" t="s">
        <v>62</v>
      </c>
      <c r="D12" s="12">
        <v>16700</v>
      </c>
      <c r="E12" s="29" t="s">
        <v>59</v>
      </c>
      <c r="F12" s="12">
        <v>21057</v>
      </c>
      <c r="G12" s="29" t="s">
        <v>66</v>
      </c>
      <c r="H12" s="12">
        <v>826.2</v>
      </c>
      <c r="I12" s="29" t="s">
        <v>73</v>
      </c>
    </row>
    <row r="13" spans="1:9">
      <c r="B13" t="s">
        <v>34</v>
      </c>
      <c r="D13" s="12">
        <v>1000</v>
      </c>
      <c r="F13" s="12">
        <v>1000</v>
      </c>
      <c r="H13" s="12">
        <v>1000</v>
      </c>
    </row>
    <row r="14" spans="1:9" ht="17.25">
      <c r="B14" t="s">
        <v>43</v>
      </c>
      <c r="D14" s="18">
        <v>1000</v>
      </c>
      <c r="F14" s="18">
        <v>1000</v>
      </c>
      <c r="H14" s="18">
        <v>1000</v>
      </c>
    </row>
    <row r="15" spans="1:9" ht="17.25">
      <c r="C15" t="s">
        <v>51</v>
      </c>
      <c r="D15" s="9">
        <f>SUM(D9:D14)</f>
        <v>26200</v>
      </c>
      <c r="F15" s="9">
        <f>SUM(F9:F14)</f>
        <v>23057</v>
      </c>
      <c r="H15" s="9">
        <f>SUM(H9:H14)</f>
        <v>2826.2</v>
      </c>
    </row>
    <row r="17" spans="1:9">
      <c r="A17" s="14" t="s">
        <v>131</v>
      </c>
      <c r="D17" s="25" t="s">
        <v>142</v>
      </c>
      <c r="F17" s="25" t="s">
        <v>141</v>
      </c>
      <c r="H17" s="25" t="s">
        <v>143</v>
      </c>
    </row>
    <row r="18" spans="1:9">
      <c r="B18" s="34" t="s">
        <v>153</v>
      </c>
      <c r="H18" s="2"/>
    </row>
    <row r="19" spans="1:9">
      <c r="B19" s="34"/>
      <c r="C19" t="s">
        <v>45</v>
      </c>
      <c r="D19" s="37">
        <v>500</v>
      </c>
      <c r="E19" s="29" t="s">
        <v>110</v>
      </c>
      <c r="F19" s="37">
        <v>0</v>
      </c>
      <c r="G19" s="29" t="s">
        <v>110</v>
      </c>
      <c r="H19" s="37">
        <v>0</v>
      </c>
      <c r="I19" s="29" t="s">
        <v>110</v>
      </c>
    </row>
    <row r="20" spans="1:9">
      <c r="C20" t="s">
        <v>46</v>
      </c>
      <c r="D20" s="13">
        <v>500</v>
      </c>
      <c r="E20" s="29" t="s">
        <v>110</v>
      </c>
      <c r="F20" s="13">
        <v>0</v>
      </c>
      <c r="G20" s="29" t="s">
        <v>110</v>
      </c>
      <c r="H20" s="13">
        <v>0</v>
      </c>
      <c r="I20" s="29" t="s">
        <v>110</v>
      </c>
    </row>
    <row r="22" spans="1:9">
      <c r="C22" s="17" t="s">
        <v>60</v>
      </c>
    </row>
    <row r="24" spans="1:9" s="32" customFormat="1" ht="12">
      <c r="A24" s="31" t="s">
        <v>58</v>
      </c>
      <c r="B24" s="31"/>
      <c r="E24" s="30"/>
      <c r="G24" s="30"/>
      <c r="I24" s="30"/>
    </row>
    <row r="25" spans="1:9" s="32" customFormat="1" ht="12">
      <c r="B25" s="33" t="s">
        <v>56</v>
      </c>
      <c r="C25" s="32" t="s">
        <v>77</v>
      </c>
      <c r="E25" s="30"/>
      <c r="G25" s="30"/>
      <c r="I25" s="30"/>
    </row>
    <row r="26" spans="1:9" s="32" customFormat="1" ht="12">
      <c r="C26" s="32" t="s">
        <v>78</v>
      </c>
      <c r="E26" s="30"/>
      <c r="G26" s="30"/>
      <c r="I26" s="30"/>
    </row>
    <row r="27" spans="1:9" s="32" customFormat="1" ht="12">
      <c r="B27" s="33" t="s">
        <v>59</v>
      </c>
      <c r="C27" s="32" t="s">
        <v>158</v>
      </c>
      <c r="E27" s="30"/>
      <c r="G27" s="30"/>
      <c r="I27" s="30"/>
    </row>
    <row r="28" spans="1:9" s="32" customFormat="1" ht="12">
      <c r="C28" s="32" t="s">
        <v>161</v>
      </c>
      <c r="E28" s="30"/>
      <c r="G28" s="30"/>
      <c r="I28" s="30"/>
    </row>
    <row r="29" spans="1:9" s="32" customFormat="1" ht="12">
      <c r="B29" s="33" t="s">
        <v>66</v>
      </c>
      <c r="C29" s="32" t="s">
        <v>159</v>
      </c>
      <c r="E29" s="30"/>
      <c r="G29" s="30"/>
      <c r="I29" s="30"/>
    </row>
    <row r="30" spans="1:9" s="32" customFormat="1" ht="12">
      <c r="C30" s="32" t="s">
        <v>162</v>
      </c>
      <c r="E30" s="30"/>
      <c r="G30" s="30"/>
      <c r="I30" s="30"/>
    </row>
    <row r="31" spans="1:9" s="32" customFormat="1" ht="12">
      <c r="B31" s="33" t="s">
        <v>73</v>
      </c>
      <c r="C31" s="32" t="s">
        <v>160</v>
      </c>
      <c r="E31" s="30"/>
      <c r="G31" s="30"/>
      <c r="I31" s="30"/>
    </row>
    <row r="32" spans="1:9" s="32" customFormat="1" ht="12">
      <c r="B32" s="33"/>
      <c r="C32" s="32" t="s">
        <v>162</v>
      </c>
      <c r="E32" s="30"/>
      <c r="G32" s="30"/>
      <c r="I32" s="30"/>
    </row>
    <row r="33" spans="2:9" s="32" customFormat="1" ht="12">
      <c r="B33" s="33" t="s">
        <v>110</v>
      </c>
      <c r="C33" s="32" t="s">
        <v>152</v>
      </c>
      <c r="E33" s="30"/>
      <c r="G33" s="30"/>
      <c r="I33" s="30"/>
    </row>
    <row r="34" spans="2:9" s="32" customFormat="1" ht="12">
      <c r="B34" s="33"/>
      <c r="C34" s="32" t="s">
        <v>154</v>
      </c>
      <c r="E34" s="30"/>
      <c r="G34" s="30"/>
      <c r="I34" s="30"/>
    </row>
  </sheetData>
  <pageMargins left="0.7" right="0.7" top="0.75" bottom="0.75" header="0.3" footer="0.3"/>
  <pageSetup orientation="portrait" horizontalDpi="0" verticalDpi="0" r:id="rId1"/>
  <ignoredErrors>
    <ignoredError sqref="B25:B29 B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topLeftCell="A28" workbookViewId="0">
      <selection activeCell="H63" sqref="H63"/>
    </sheetView>
  </sheetViews>
  <sheetFormatPr defaultRowHeight="15"/>
  <cols>
    <col min="1" max="2" width="2.7109375" customWidth="1"/>
    <col min="3" max="3" width="24.7109375" customWidth="1"/>
    <col min="4" max="5" width="10.7109375" customWidth="1"/>
    <col min="6" max="6" width="6.7109375" style="27" customWidth="1"/>
    <col min="7" max="8" width="10.7109375" customWidth="1"/>
    <col min="9" max="9" width="6.7109375" style="27" customWidth="1"/>
    <col min="10" max="11" width="10.7109375" customWidth="1"/>
    <col min="12" max="12" width="6.7109375" style="27" customWidth="1"/>
    <col min="13" max="35" width="10.7109375" customWidth="1"/>
  </cols>
  <sheetData>
    <row r="1" spans="1:12">
      <c r="D1" s="41" t="s">
        <v>142</v>
      </c>
      <c r="E1" s="41"/>
      <c r="G1" s="41" t="s">
        <v>141</v>
      </c>
      <c r="H1" s="41"/>
      <c r="J1" s="41" t="s">
        <v>143</v>
      </c>
      <c r="K1" s="41"/>
    </row>
    <row r="2" spans="1:12">
      <c r="A2" s="14" t="s">
        <v>29</v>
      </c>
      <c r="F2" s="28" t="s">
        <v>119</v>
      </c>
      <c r="I2" s="28" t="s">
        <v>119</v>
      </c>
      <c r="L2" s="28" t="s">
        <v>119</v>
      </c>
    </row>
    <row r="3" spans="1:12">
      <c r="B3" t="s">
        <v>140</v>
      </c>
      <c r="E3" s="10">
        <f>852*2</f>
        <v>1704</v>
      </c>
      <c r="F3" s="29" t="s">
        <v>123</v>
      </c>
      <c r="H3" s="12">
        <f>30.6*92.33</f>
        <v>2825.2980000000002</v>
      </c>
      <c r="I3" s="29" t="s">
        <v>124</v>
      </c>
      <c r="K3" s="10">
        <f>2.04*50</f>
        <v>102</v>
      </c>
      <c r="L3" s="29" t="s">
        <v>136</v>
      </c>
    </row>
    <row r="4" spans="1:12">
      <c r="B4" t="s">
        <v>31</v>
      </c>
      <c r="E4" s="12">
        <f>835*2</f>
        <v>1670</v>
      </c>
      <c r="F4" s="29" t="s">
        <v>125</v>
      </c>
      <c r="H4" s="12">
        <f>30.6*68.81</f>
        <v>2105.5860000000002</v>
      </c>
      <c r="I4" s="29" t="s">
        <v>126</v>
      </c>
      <c r="K4" s="12">
        <f>2.04*40.5</f>
        <v>82.62</v>
      </c>
      <c r="L4" s="29" t="s">
        <v>137</v>
      </c>
    </row>
    <row r="5" spans="1:12">
      <c r="B5" t="s">
        <v>36</v>
      </c>
      <c r="E5" s="2">
        <f>E3-E4</f>
        <v>34</v>
      </c>
      <c r="F5" s="30"/>
      <c r="H5" s="2">
        <f>H3-H4</f>
        <v>719.71199999999999</v>
      </c>
      <c r="I5" s="30"/>
      <c r="K5" s="2">
        <f>K3-K4</f>
        <v>19.379999999999995</v>
      </c>
      <c r="L5" s="30"/>
    </row>
    <row r="6" spans="1:12">
      <c r="C6" s="6" t="s">
        <v>37</v>
      </c>
      <c r="E6" s="5">
        <f>IF(ISERROR(E5/E3),0,E5/E3)</f>
        <v>1.9953051643192488E-2</v>
      </c>
      <c r="F6" s="30"/>
      <c r="H6" s="5">
        <f>IF(ISERROR(H5/H3),0,H5/H3)</f>
        <v>0.25473843821076569</v>
      </c>
      <c r="I6" s="30"/>
      <c r="K6" s="5">
        <f>IF(ISERROR(K5/K3),0,K5/K3)</f>
        <v>0.18999999999999995</v>
      </c>
      <c r="L6" s="30"/>
    </row>
    <row r="7" spans="1:12">
      <c r="C7" s="6"/>
      <c r="E7" s="5"/>
      <c r="F7" s="30"/>
      <c r="H7" s="5"/>
      <c r="I7" s="30"/>
      <c r="K7" s="5"/>
      <c r="L7" s="30"/>
    </row>
    <row r="8" spans="1:12">
      <c r="A8" s="14" t="s">
        <v>32</v>
      </c>
      <c r="F8" s="30"/>
      <c r="I8" s="30"/>
      <c r="L8" s="30"/>
    </row>
    <row r="9" spans="1:12">
      <c r="B9" t="s">
        <v>140</v>
      </c>
      <c r="E9" s="10">
        <f>85+75</f>
        <v>160</v>
      </c>
      <c r="F9" s="29" t="s">
        <v>127</v>
      </c>
      <c r="H9" s="10">
        <f>85+81+(3*22)</f>
        <v>232</v>
      </c>
      <c r="I9" s="29" t="s">
        <v>128</v>
      </c>
      <c r="K9" s="10">
        <f>85+81</f>
        <v>166</v>
      </c>
      <c r="L9" s="29" t="s">
        <v>138</v>
      </c>
    </row>
    <row r="10" spans="1:12">
      <c r="B10" t="s">
        <v>31</v>
      </c>
      <c r="D10" s="39"/>
      <c r="F10" s="30"/>
      <c r="I10" s="30"/>
      <c r="L10" s="30"/>
    </row>
    <row r="11" spans="1:12">
      <c r="C11" t="s">
        <v>33</v>
      </c>
      <c r="D11" s="10">
        <v>29</v>
      </c>
      <c r="F11" s="30"/>
      <c r="G11" s="10">
        <v>47.5</v>
      </c>
      <c r="I11" s="30"/>
      <c r="J11" s="10">
        <v>47.5</v>
      </c>
      <c r="L11" s="30"/>
    </row>
    <row r="12" spans="1:12">
      <c r="C12" t="s">
        <v>35</v>
      </c>
      <c r="D12" s="13">
        <v>1</v>
      </c>
      <c r="F12" s="30"/>
      <c r="G12" s="13">
        <v>2</v>
      </c>
      <c r="I12" s="30"/>
      <c r="J12" s="13">
        <v>1</v>
      </c>
      <c r="L12" s="30"/>
    </row>
    <row r="13" spans="1:12">
      <c r="C13" t="s">
        <v>31</v>
      </c>
      <c r="E13" s="2">
        <f>D11*D12</f>
        <v>29</v>
      </c>
      <c r="F13" s="30"/>
      <c r="H13" s="2">
        <f>G11*G12</f>
        <v>95</v>
      </c>
      <c r="I13" s="30"/>
      <c r="K13" s="2">
        <f>J11*J12</f>
        <v>47.5</v>
      </c>
      <c r="L13" s="30"/>
    </row>
    <row r="14" spans="1:12">
      <c r="B14" t="s">
        <v>36</v>
      </c>
      <c r="E14" s="2">
        <f>E9-E13</f>
        <v>131</v>
      </c>
      <c r="F14" s="30"/>
      <c r="H14" s="2">
        <f>H9-H13</f>
        <v>137</v>
      </c>
      <c r="I14" s="30"/>
      <c r="K14" s="2">
        <f>K9-K13</f>
        <v>118.5</v>
      </c>
      <c r="L14" s="30"/>
    </row>
    <row r="15" spans="1:12">
      <c r="C15" s="6" t="s">
        <v>37</v>
      </c>
      <c r="E15" s="5">
        <f>IF(ISERROR(E14/E9),0,E14/E9)</f>
        <v>0.81874999999999998</v>
      </c>
      <c r="F15" s="30"/>
      <c r="H15" s="5">
        <f>IF(ISERROR(H14/H9),0,H14/H9)</f>
        <v>0.59051724137931039</v>
      </c>
      <c r="I15" s="30"/>
      <c r="K15" s="5">
        <f>IF(ISERROR(K14/K9),0,K14/K9)</f>
        <v>0.71385542168674698</v>
      </c>
      <c r="L15" s="30"/>
    </row>
    <row r="16" spans="1:12">
      <c r="C16" s="6"/>
      <c r="E16" s="5"/>
      <c r="F16" s="30"/>
      <c r="H16" s="5"/>
      <c r="I16" s="30"/>
      <c r="K16" s="5"/>
      <c r="L16" s="30"/>
    </row>
    <row r="17" spans="1:12">
      <c r="A17" s="14" t="s">
        <v>34</v>
      </c>
      <c r="F17" s="30"/>
      <c r="I17" s="30"/>
      <c r="L17" s="30"/>
    </row>
    <row r="18" spans="1:12">
      <c r="B18" t="s">
        <v>30</v>
      </c>
      <c r="E18" s="10">
        <v>5</v>
      </c>
      <c r="F18" s="30"/>
      <c r="H18" s="10">
        <v>5</v>
      </c>
      <c r="I18" s="30"/>
      <c r="K18" s="10">
        <v>5</v>
      </c>
      <c r="L18" s="30"/>
    </row>
    <row r="19" spans="1:12">
      <c r="B19" t="s">
        <v>31</v>
      </c>
      <c r="E19" s="12">
        <v>2</v>
      </c>
      <c r="F19" s="30"/>
      <c r="H19" s="12">
        <v>2</v>
      </c>
      <c r="I19" s="30"/>
      <c r="K19" s="12">
        <v>2</v>
      </c>
      <c r="L19" s="30"/>
    </row>
    <row r="20" spans="1:12">
      <c r="B20" t="s">
        <v>36</v>
      </c>
      <c r="E20" s="2">
        <f>E18-E19</f>
        <v>3</v>
      </c>
      <c r="F20" s="30"/>
      <c r="H20" s="2">
        <f>H18-H19</f>
        <v>3</v>
      </c>
      <c r="I20" s="30"/>
      <c r="K20" s="2">
        <f>K18-K19</f>
        <v>3</v>
      </c>
      <c r="L20" s="30"/>
    </row>
    <row r="21" spans="1:12">
      <c r="C21" s="6" t="s">
        <v>37</v>
      </c>
      <c r="E21" s="5">
        <f>IF(ISERROR(E20/E18),0,E20/E18)</f>
        <v>0.6</v>
      </c>
      <c r="F21" s="30"/>
      <c r="H21" s="5">
        <f>IF(ISERROR(H20/H18),0,H20/H18)</f>
        <v>0.6</v>
      </c>
      <c r="I21" s="30"/>
      <c r="K21" s="5">
        <f>IF(ISERROR(K20/K18),0,K20/K18)</f>
        <v>0.6</v>
      </c>
      <c r="L21" s="30"/>
    </row>
    <row r="22" spans="1:12">
      <c r="C22" s="6"/>
      <c r="E22" s="5"/>
      <c r="F22" s="30"/>
      <c r="H22" s="5"/>
      <c r="I22" s="30"/>
      <c r="K22" s="5"/>
      <c r="L22" s="30"/>
    </row>
    <row r="23" spans="1:12">
      <c r="A23" s="14" t="s">
        <v>44</v>
      </c>
      <c r="F23" s="30"/>
      <c r="I23" s="30"/>
      <c r="L23" s="30"/>
    </row>
    <row r="24" spans="1:12">
      <c r="B24" t="s">
        <v>30</v>
      </c>
      <c r="E24" s="10">
        <v>0</v>
      </c>
      <c r="F24" s="29" t="s">
        <v>73</v>
      </c>
      <c r="H24" s="10">
        <v>0</v>
      </c>
      <c r="I24" s="29" t="s">
        <v>73</v>
      </c>
      <c r="K24" s="10">
        <v>0</v>
      </c>
      <c r="L24" s="29" t="s">
        <v>73</v>
      </c>
    </row>
    <row r="25" spans="1:12">
      <c r="B25" t="s">
        <v>31</v>
      </c>
      <c r="E25" s="12">
        <v>0</v>
      </c>
      <c r="F25" s="30"/>
      <c r="H25" s="12">
        <v>0</v>
      </c>
      <c r="I25" s="30"/>
      <c r="K25" s="12">
        <v>0</v>
      </c>
      <c r="L25" s="30"/>
    </row>
    <row r="26" spans="1:12">
      <c r="B26" t="s">
        <v>36</v>
      </c>
      <c r="E26" s="2">
        <f>E24-E25</f>
        <v>0</v>
      </c>
      <c r="F26" s="30"/>
      <c r="H26" s="2">
        <f>H24-H25</f>
        <v>0</v>
      </c>
      <c r="I26" s="30"/>
      <c r="K26" s="2">
        <f>K24-K25</f>
        <v>0</v>
      </c>
      <c r="L26" s="30"/>
    </row>
    <row r="27" spans="1:12">
      <c r="C27" s="6" t="s">
        <v>37</v>
      </c>
      <c r="E27" s="5">
        <f>IF(ISERROR(E26/E24),0,E26/E24)</f>
        <v>0</v>
      </c>
      <c r="F27" s="30"/>
      <c r="H27" s="5">
        <f>IF(ISERROR(H26/H24),0,H26/H24)</f>
        <v>0</v>
      </c>
      <c r="I27" s="30"/>
      <c r="K27" s="5">
        <f>IF(ISERROR(K26/K24),0,K26/K24)</f>
        <v>0</v>
      </c>
      <c r="L27" s="30"/>
    </row>
    <row r="28" spans="1:12">
      <c r="C28" s="6"/>
      <c r="E28" s="5"/>
      <c r="F28" s="30"/>
      <c r="H28" s="5"/>
      <c r="I28" s="30"/>
      <c r="K28" s="5"/>
      <c r="L28" s="30"/>
    </row>
    <row r="29" spans="1:12">
      <c r="A29" s="14" t="s">
        <v>55</v>
      </c>
      <c r="F29" s="30"/>
      <c r="I29" s="30"/>
      <c r="L29" s="30"/>
    </row>
    <row r="30" spans="1:12">
      <c r="B30" t="s">
        <v>30</v>
      </c>
      <c r="E30" s="3">
        <f>E3+E9+E18+E24</f>
        <v>1869</v>
      </c>
      <c r="F30" s="30"/>
      <c r="H30" s="3">
        <f>H3+H9+H18+H24</f>
        <v>3062.2980000000002</v>
      </c>
      <c r="I30" s="30"/>
      <c r="K30" s="3">
        <f>K3+K9+K18+K24</f>
        <v>273</v>
      </c>
      <c r="L30" s="30"/>
    </row>
    <row r="31" spans="1:12">
      <c r="B31" t="s">
        <v>31</v>
      </c>
      <c r="E31" s="1">
        <f>E4+E13+E19+E25</f>
        <v>1701</v>
      </c>
      <c r="F31" s="30"/>
      <c r="H31" s="1">
        <f>H4+H13+H19+H25</f>
        <v>2202.5860000000002</v>
      </c>
      <c r="I31" s="30"/>
      <c r="K31" s="1">
        <f>K4+K13+K19+K25</f>
        <v>132.12</v>
      </c>
      <c r="L31" s="30"/>
    </row>
    <row r="32" spans="1:12">
      <c r="B32" t="s">
        <v>36</v>
      </c>
      <c r="E32" s="2">
        <f>E30-E31</f>
        <v>168</v>
      </c>
      <c r="F32" s="30"/>
      <c r="H32" s="2">
        <f>H30-H31</f>
        <v>859.71199999999999</v>
      </c>
      <c r="I32" s="30"/>
      <c r="K32" s="2">
        <f>K30-K31</f>
        <v>140.88</v>
      </c>
      <c r="L32" s="30"/>
    </row>
    <row r="33" spans="1:12">
      <c r="C33" s="6" t="s">
        <v>37</v>
      </c>
      <c r="E33" s="5">
        <f>IF(ISERROR(E32/E30),0,E32/E30)</f>
        <v>8.98876404494382E-2</v>
      </c>
      <c r="F33" s="30"/>
      <c r="H33" s="5">
        <f>IF(ISERROR(H32/H30),0,H32/H30)</f>
        <v>0.28074080314848521</v>
      </c>
      <c r="I33" s="30"/>
      <c r="K33" s="5">
        <f>IF(ISERROR(K32/K30),0,K32/K30)</f>
        <v>0.51604395604395603</v>
      </c>
      <c r="L33" s="30"/>
    </row>
    <row r="34" spans="1:12">
      <c r="C34" s="6"/>
      <c r="E34" s="5"/>
      <c r="H34" s="5"/>
      <c r="K34" s="5"/>
    </row>
    <row r="35" spans="1:12">
      <c r="C35" s="17" t="s">
        <v>60</v>
      </c>
      <c r="E35" s="5"/>
      <c r="H35" s="5"/>
      <c r="K35" s="5"/>
    </row>
    <row r="37" spans="1:12" s="32" customFormat="1" ht="12">
      <c r="A37" s="31" t="s">
        <v>58</v>
      </c>
      <c r="F37" s="30"/>
      <c r="I37" s="30"/>
      <c r="L37" s="30"/>
    </row>
    <row r="38" spans="1:12" s="32" customFormat="1" ht="12">
      <c r="A38" s="31"/>
      <c r="B38" s="33" t="s">
        <v>120</v>
      </c>
      <c r="C38" s="32" t="s">
        <v>135</v>
      </c>
      <c r="F38" s="30"/>
      <c r="I38" s="30"/>
      <c r="L38" s="30"/>
    </row>
    <row r="39" spans="1:12" s="32" customFormat="1" ht="12">
      <c r="A39" s="31"/>
      <c r="B39" s="33" t="s">
        <v>121</v>
      </c>
      <c r="C39" s="32" t="s">
        <v>134</v>
      </c>
      <c r="F39" s="30"/>
      <c r="I39" s="30"/>
      <c r="L39" s="30"/>
    </row>
    <row r="40" spans="1:12" s="32" customFormat="1" ht="12">
      <c r="A40" s="31"/>
      <c r="B40" s="33" t="s">
        <v>122</v>
      </c>
      <c r="C40" s="32" t="s">
        <v>133</v>
      </c>
      <c r="F40" s="30"/>
      <c r="I40" s="30"/>
      <c r="L40" s="30"/>
    </row>
    <row r="41" spans="1:12" s="32" customFormat="1" ht="12">
      <c r="B41" s="33" t="s">
        <v>56</v>
      </c>
      <c r="C41" s="32" t="s">
        <v>70</v>
      </c>
      <c r="F41" s="30"/>
      <c r="I41" s="30"/>
      <c r="L41" s="30"/>
    </row>
    <row r="42" spans="1:12" s="32" customFormat="1" ht="12">
      <c r="B42" s="33" t="s">
        <v>59</v>
      </c>
      <c r="C42" s="32" t="s">
        <v>71</v>
      </c>
      <c r="F42" s="30"/>
      <c r="I42" s="30"/>
      <c r="L42" s="30"/>
    </row>
    <row r="43" spans="1:12" s="32" customFormat="1" ht="12">
      <c r="B43" s="33" t="s">
        <v>66</v>
      </c>
      <c r="C43" s="32" t="s">
        <v>72</v>
      </c>
      <c r="F43" s="30"/>
      <c r="I43" s="30"/>
      <c r="L43" s="30"/>
    </row>
    <row r="44" spans="1:12" s="32" customFormat="1" ht="12">
      <c r="B44" s="33" t="s">
        <v>73</v>
      </c>
      <c r="C44" s="32" t="s">
        <v>74</v>
      </c>
      <c r="F44" s="30"/>
      <c r="I44" s="30"/>
      <c r="L44" s="30"/>
    </row>
    <row r="45" spans="1:12" s="32" customFormat="1" ht="12">
      <c r="C45" s="32" t="s">
        <v>75</v>
      </c>
      <c r="F45" s="30"/>
      <c r="I45" s="30"/>
      <c r="L45" s="30"/>
    </row>
    <row r="46" spans="1:12" s="32" customFormat="1" ht="12">
      <c r="B46" s="33" t="s">
        <v>110</v>
      </c>
      <c r="C46" s="32" t="s">
        <v>146</v>
      </c>
      <c r="F46" s="30"/>
      <c r="I46" s="30"/>
      <c r="L46" s="30"/>
    </row>
    <row r="47" spans="1:12" s="32" customFormat="1" ht="12">
      <c r="B47" s="33" t="s">
        <v>111</v>
      </c>
      <c r="C47" s="32" t="s">
        <v>147</v>
      </c>
      <c r="F47" s="30"/>
      <c r="I47" s="30"/>
      <c r="L47" s="30"/>
    </row>
    <row r="48" spans="1:12" s="32" customFormat="1" ht="12">
      <c r="B48" s="33" t="s">
        <v>112</v>
      </c>
      <c r="C48" s="32" t="s">
        <v>144</v>
      </c>
      <c r="F48" s="30"/>
      <c r="I48" s="30"/>
      <c r="L48" s="30"/>
    </row>
    <row r="49" spans="2:12" s="32" customFormat="1" ht="12">
      <c r="B49" s="33" t="s">
        <v>113</v>
      </c>
      <c r="C49" s="32" t="s">
        <v>149</v>
      </c>
      <c r="F49" s="30"/>
      <c r="I49" s="30"/>
      <c r="L49" s="30"/>
    </row>
    <row r="50" spans="2:12" s="32" customFormat="1" ht="12">
      <c r="B50" s="33" t="s">
        <v>114</v>
      </c>
      <c r="C50" s="32" t="s">
        <v>148</v>
      </c>
      <c r="F50" s="30"/>
      <c r="I50" s="30"/>
      <c r="L50" s="30"/>
    </row>
    <row r="51" spans="2:12" s="32" customFormat="1" ht="12">
      <c r="B51" s="33" t="s">
        <v>115</v>
      </c>
      <c r="C51" s="32" t="s">
        <v>145</v>
      </c>
      <c r="F51" s="30"/>
      <c r="I51" s="30"/>
      <c r="L51" s="30"/>
    </row>
  </sheetData>
  <mergeCells count="3">
    <mergeCell ref="D1:E1"/>
    <mergeCell ref="G1:H1"/>
    <mergeCell ref="J1:K1"/>
  </mergeCells>
  <pageMargins left="0.7" right="0.7" top="0.75" bottom="0.75" header="0.3" footer="0.3"/>
  <pageSetup scale="78" orientation="portrait" horizontalDpi="0" verticalDpi="0" r:id="rId1"/>
  <ignoredErrors>
    <ignoredError sqref="B41:B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topLeftCell="A4" workbookViewId="0"/>
  </sheetViews>
  <sheetFormatPr defaultRowHeight="15"/>
  <cols>
    <col min="1" max="2" width="2.7109375" customWidth="1"/>
    <col min="3" max="3" width="24.7109375" customWidth="1"/>
    <col min="4" max="16" width="12.28515625" bestFit="1" customWidth="1"/>
    <col min="17" max="28" width="11.7109375" customWidth="1"/>
  </cols>
  <sheetData>
    <row r="1" spans="1:28">
      <c r="A1" s="14" t="s">
        <v>139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">
      <c r="D2" s="16" t="s">
        <v>76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pans="1:28">
      <c r="A3" s="14" t="s">
        <v>42</v>
      </c>
      <c r="E3" s="4">
        <f>SUM('Reslizumab by Mo:IV Steroid by Mo'!E3)</f>
        <v>3</v>
      </c>
      <c r="F3" s="4">
        <f>SUM('Reslizumab by Mo:IV Steroid by Mo'!F3)</f>
        <v>6</v>
      </c>
      <c r="G3" s="4">
        <f>SUM('Reslizumab by Mo:IV Steroid by Mo'!G3)</f>
        <v>9</v>
      </c>
      <c r="H3" s="4">
        <f>SUM('Reslizumab by Mo:IV Steroid by Mo'!H3)</f>
        <v>12</v>
      </c>
      <c r="I3" s="4">
        <f>SUM('Reslizumab by Mo:IV Steroid by Mo'!I3)</f>
        <v>15</v>
      </c>
      <c r="J3" s="4">
        <f>SUM('Reslizumab by Mo:IV Steroid by Mo'!J3)</f>
        <v>18</v>
      </c>
      <c r="K3" s="4">
        <f>SUM('Reslizumab by Mo:IV Steroid by Mo'!K3)</f>
        <v>24</v>
      </c>
      <c r="L3" s="4">
        <f>SUM('Reslizumab by Mo:IV Steroid by Mo'!L3)</f>
        <v>30</v>
      </c>
      <c r="M3" s="4">
        <f>SUM('Reslizumab by Mo:IV Steroid by Mo'!M3)</f>
        <v>36</v>
      </c>
      <c r="N3" s="4">
        <f>SUM('Reslizumab by Mo:IV Steroid by Mo'!N3)</f>
        <v>42</v>
      </c>
      <c r="O3" s="4">
        <f>SUM('Reslizumab by Mo:IV Steroid by Mo'!O3)</f>
        <v>48</v>
      </c>
      <c r="P3" s="4">
        <f>SUM('Reslizumab by Mo:IV Steroid by Mo'!P3)</f>
        <v>54</v>
      </c>
      <c r="Q3" s="4">
        <f>SUM('Reslizumab by Mo:IV Steroid by Mo'!Q3)</f>
        <v>60</v>
      </c>
      <c r="R3" s="4">
        <f>SUM('Reslizumab by Mo:IV Steroid by Mo'!R3)</f>
        <v>60</v>
      </c>
      <c r="S3" s="4">
        <f>SUM('Reslizumab by Mo:IV Steroid by Mo'!S3)</f>
        <v>60</v>
      </c>
      <c r="T3" s="4">
        <f>SUM('Reslizumab by Mo:IV Steroid by Mo'!T3)</f>
        <v>60</v>
      </c>
      <c r="U3" s="4">
        <f>SUM('Reslizumab by Mo:IV Steroid by Mo'!U3)</f>
        <v>60</v>
      </c>
      <c r="V3" s="4">
        <f>SUM('Reslizumab by Mo:IV Steroid by Mo'!V3)</f>
        <v>60</v>
      </c>
      <c r="W3" s="4">
        <f>SUM('Reslizumab by Mo:IV Steroid by Mo'!W3)</f>
        <v>60</v>
      </c>
      <c r="X3" s="4">
        <f>SUM('Reslizumab by Mo:IV Steroid by Mo'!X3)</f>
        <v>60</v>
      </c>
      <c r="Y3" s="4">
        <f>SUM('Reslizumab by Mo:IV Steroid by Mo'!Y3)</f>
        <v>60</v>
      </c>
      <c r="Z3" s="4">
        <f>SUM('Reslizumab by Mo:IV Steroid by Mo'!Z3)</f>
        <v>60</v>
      </c>
      <c r="AA3" s="4">
        <f>SUM('Reslizumab by Mo:IV Steroid by Mo'!AA3)</f>
        <v>60</v>
      </c>
      <c r="AB3" s="4">
        <f>SUM('Reslizumab by Mo:IV Steroid by Mo'!AB3)</f>
        <v>60</v>
      </c>
    </row>
    <row r="5" spans="1:28">
      <c r="A5" t="s">
        <v>30</v>
      </c>
      <c r="E5" s="3">
        <f>SUM('Reslizumab by Mo:IV Steroid by Mo'!E5)</f>
        <v>5204.2980000000007</v>
      </c>
      <c r="F5" s="3">
        <f>SUM('Reslizumab by Mo:IV Steroid by Mo'!F5)</f>
        <v>10408.596000000001</v>
      </c>
      <c r="G5" s="3">
        <f>SUM('Reslizumab by Mo:IV Steroid by Mo'!G5)</f>
        <v>15612.894</v>
      </c>
      <c r="H5" s="3">
        <f>SUM('Reslizumab by Mo:IV Steroid by Mo'!H5)</f>
        <v>20817.192000000003</v>
      </c>
      <c r="I5" s="3">
        <f>SUM('Reslizumab by Mo:IV Steroid by Mo'!I5)</f>
        <v>26021.49</v>
      </c>
      <c r="J5" s="3">
        <f>SUM('Reslizumab by Mo:IV Steroid by Mo'!J5)</f>
        <v>31225.788</v>
      </c>
      <c r="K5" s="3">
        <f>SUM('Reslizumab by Mo:IV Steroid by Mo'!K5)</f>
        <v>41634.384000000005</v>
      </c>
      <c r="L5" s="3">
        <f>SUM('Reslizumab by Mo:IV Steroid by Mo'!L5)</f>
        <v>52042.98</v>
      </c>
      <c r="M5" s="3">
        <f>SUM('Reslizumab by Mo:IV Steroid by Mo'!M5)</f>
        <v>62451.576000000001</v>
      </c>
      <c r="N5" s="3">
        <f>SUM('Reslizumab by Mo:IV Steroid by Mo'!N5)</f>
        <v>72860.172000000006</v>
      </c>
      <c r="O5" s="3">
        <f>SUM('Reslizumab by Mo:IV Steroid by Mo'!O5)</f>
        <v>83268.768000000011</v>
      </c>
      <c r="P5" s="3">
        <f>SUM('Reslizumab by Mo:IV Steroid by Mo'!P5)</f>
        <v>93677.364000000001</v>
      </c>
      <c r="Q5" s="3">
        <f>SUM('Reslizumab by Mo:IV Steroid by Mo'!Q5)</f>
        <v>104085.96</v>
      </c>
      <c r="R5" s="3">
        <f>SUM('Reslizumab by Mo:IV Steroid by Mo'!R5)</f>
        <v>104085.96</v>
      </c>
      <c r="S5" s="3">
        <f>SUM('Reslizumab by Mo:IV Steroid by Mo'!S5)</f>
        <v>104085.96</v>
      </c>
      <c r="T5" s="3">
        <f>SUM('Reslizumab by Mo:IV Steroid by Mo'!T5)</f>
        <v>104085.96</v>
      </c>
      <c r="U5" s="3">
        <f>SUM('Reslizumab by Mo:IV Steroid by Mo'!U5)</f>
        <v>104085.96</v>
      </c>
      <c r="V5" s="3">
        <f>SUM('Reslizumab by Mo:IV Steroid by Mo'!V5)</f>
        <v>104085.96</v>
      </c>
      <c r="W5" s="3">
        <f>SUM('Reslizumab by Mo:IV Steroid by Mo'!W5)</f>
        <v>104085.96</v>
      </c>
      <c r="X5" s="3">
        <f>SUM('Reslizumab by Mo:IV Steroid by Mo'!X5)</f>
        <v>104085.96</v>
      </c>
      <c r="Y5" s="3">
        <f>SUM('Reslizumab by Mo:IV Steroid by Mo'!Y5)</f>
        <v>104085.96</v>
      </c>
      <c r="Z5" s="3">
        <f>SUM('Reslizumab by Mo:IV Steroid by Mo'!Z5)</f>
        <v>104085.96</v>
      </c>
      <c r="AA5" s="3">
        <f>SUM('Reslizumab by Mo:IV Steroid by Mo'!AA5)</f>
        <v>104085.96</v>
      </c>
      <c r="AB5" s="3">
        <f>SUM('Reslizumab by Mo:IV Steroid by Mo'!AB5)</f>
        <v>104085.96</v>
      </c>
    </row>
    <row r="7" spans="1:28">
      <c r="A7" t="s">
        <v>130</v>
      </c>
      <c r="E7" s="7">
        <f>SUM('Reslizumab by Mo:IV Steroid by Mo'!E7)</f>
        <v>4035.7060000000001</v>
      </c>
      <c r="F7" s="7">
        <f>SUM('Reslizumab by Mo:IV Steroid by Mo'!F7)</f>
        <v>8071.4120000000003</v>
      </c>
      <c r="G7" s="7">
        <f>SUM('Reslizumab by Mo:IV Steroid by Mo'!G7)</f>
        <v>12107.118000000002</v>
      </c>
      <c r="H7" s="7">
        <f>SUM('Reslizumab by Mo:IV Steroid by Mo'!H7)</f>
        <v>16142.824000000001</v>
      </c>
      <c r="I7" s="7">
        <f>SUM('Reslizumab by Mo:IV Steroid by Mo'!I7)</f>
        <v>20178.53</v>
      </c>
      <c r="J7" s="7">
        <f>SUM('Reslizumab by Mo:IV Steroid by Mo'!J7)</f>
        <v>24214.236000000004</v>
      </c>
      <c r="K7" s="7">
        <f>SUM('Reslizumab by Mo:IV Steroid by Mo'!K7)</f>
        <v>32285.648000000001</v>
      </c>
      <c r="L7" s="7">
        <f>SUM('Reslizumab by Mo:IV Steroid by Mo'!L7)</f>
        <v>40357.06</v>
      </c>
      <c r="M7" s="7">
        <f>SUM('Reslizumab by Mo:IV Steroid by Mo'!M7)</f>
        <v>48428.472000000009</v>
      </c>
      <c r="N7" s="7">
        <f>SUM('Reslizumab by Mo:IV Steroid by Mo'!N7)</f>
        <v>56499.884000000005</v>
      </c>
      <c r="O7" s="7">
        <f>SUM('Reslizumab by Mo:IV Steroid by Mo'!O7)</f>
        <v>64571.296000000002</v>
      </c>
      <c r="P7" s="7">
        <f>SUM('Reslizumab by Mo:IV Steroid by Mo'!P7)</f>
        <v>72642.708000000013</v>
      </c>
      <c r="Q7" s="7">
        <f>SUM('Reslizumab by Mo:IV Steroid by Mo'!Q7)</f>
        <v>80714.12</v>
      </c>
      <c r="R7" s="7">
        <f>SUM('Reslizumab by Mo:IV Steroid by Mo'!R7)</f>
        <v>80714.12</v>
      </c>
      <c r="S7" s="7">
        <f>SUM('Reslizumab by Mo:IV Steroid by Mo'!S7)</f>
        <v>80714.12</v>
      </c>
      <c r="T7" s="7">
        <f>SUM('Reslizumab by Mo:IV Steroid by Mo'!T7)</f>
        <v>80714.12</v>
      </c>
      <c r="U7" s="7">
        <f>SUM('Reslizumab by Mo:IV Steroid by Mo'!U7)</f>
        <v>80714.12</v>
      </c>
      <c r="V7" s="7">
        <f>SUM('Reslizumab by Mo:IV Steroid by Mo'!V7)</f>
        <v>80714.12</v>
      </c>
      <c r="W7" s="7">
        <f>SUM('Reslizumab by Mo:IV Steroid by Mo'!W7)</f>
        <v>80714.12</v>
      </c>
      <c r="X7" s="7">
        <f>SUM('Reslizumab by Mo:IV Steroid by Mo'!X7)</f>
        <v>80714.12</v>
      </c>
      <c r="Y7" s="7">
        <f>SUM('Reslizumab by Mo:IV Steroid by Mo'!Y7)</f>
        <v>80714.12</v>
      </c>
      <c r="Z7" s="7">
        <f>SUM('Reslizumab by Mo:IV Steroid by Mo'!Z7)</f>
        <v>80714.12</v>
      </c>
      <c r="AA7" s="7">
        <f>SUM('Reslizumab by Mo:IV Steroid by Mo'!AA7)</f>
        <v>80714.12</v>
      </c>
      <c r="AB7" s="7">
        <f>SUM('Reslizumab by Mo:IV Steroid by Mo'!AB7)</f>
        <v>80714.12</v>
      </c>
    </row>
    <row r="8" spans="1:28">
      <c r="A8" s="34" t="s">
        <v>131</v>
      </c>
      <c r="E8" s="7">
        <f>SUM('Reslizumab by Mo:IV Steroid by Mo'!E8)</f>
        <v>0</v>
      </c>
      <c r="F8" s="7">
        <f>SUM('Reslizumab by Mo:IV Steroid by Mo'!F8)</f>
        <v>0</v>
      </c>
      <c r="G8" s="7">
        <f>SUM('Reslizumab by Mo:IV Steroid by Mo'!G8)</f>
        <v>0</v>
      </c>
      <c r="H8" s="7">
        <f>SUM('Reslizumab by Mo:IV Steroid by Mo'!H8)</f>
        <v>0</v>
      </c>
      <c r="I8" s="7">
        <f>SUM('Reslizumab by Mo:IV Steroid by Mo'!I8)</f>
        <v>0</v>
      </c>
      <c r="J8" s="7">
        <f>SUM('Reslizumab by Mo:IV Steroid by Mo'!J8)</f>
        <v>0</v>
      </c>
      <c r="K8" s="7">
        <f>SUM('Reslizumab by Mo:IV Steroid by Mo'!K8)</f>
        <v>0</v>
      </c>
      <c r="L8" s="7">
        <f>SUM('Reslizumab by Mo:IV Steroid by Mo'!L8)</f>
        <v>0</v>
      </c>
      <c r="M8" s="7">
        <f>SUM('Reslizumab by Mo:IV Steroid by Mo'!M8)</f>
        <v>0</v>
      </c>
      <c r="N8" s="7">
        <f>SUM('Reslizumab by Mo:IV Steroid by Mo'!N8)</f>
        <v>0</v>
      </c>
      <c r="O8" s="7">
        <f>SUM('Reslizumab by Mo:IV Steroid by Mo'!O8)</f>
        <v>0</v>
      </c>
      <c r="P8" s="7">
        <f>SUM('Reslizumab by Mo:IV Steroid by Mo'!P8)</f>
        <v>500</v>
      </c>
      <c r="Q8" s="7">
        <f>SUM('Reslizumab by Mo:IV Steroid by Mo'!Q8)</f>
        <v>0</v>
      </c>
      <c r="R8" s="7">
        <f>SUM('Reslizumab by Mo:IV Steroid by Mo'!R8)</f>
        <v>0</v>
      </c>
      <c r="S8" s="7">
        <f>SUM('Reslizumab by Mo:IV Steroid by Mo'!S8)</f>
        <v>0</v>
      </c>
      <c r="T8" s="7">
        <f>SUM('Reslizumab by Mo:IV Steroid by Mo'!T8)</f>
        <v>0</v>
      </c>
      <c r="U8" s="7">
        <f>SUM('Reslizumab by Mo:IV Steroid by Mo'!U8)</f>
        <v>0</v>
      </c>
      <c r="V8" s="7">
        <f>SUM('Reslizumab by Mo:IV Steroid by Mo'!V8)</f>
        <v>0</v>
      </c>
      <c r="W8" s="7">
        <f>SUM('Reslizumab by Mo:IV Steroid by Mo'!W8)</f>
        <v>0</v>
      </c>
      <c r="X8" s="7">
        <f>SUM('Reslizumab by Mo:IV Steroid by Mo'!X8)</f>
        <v>0</v>
      </c>
      <c r="Y8" s="7">
        <f>SUM('Reslizumab by Mo:IV Steroid by Mo'!Y8)</f>
        <v>0</v>
      </c>
      <c r="Z8" s="7">
        <f>SUM('Reslizumab by Mo:IV Steroid by Mo'!Z8)</f>
        <v>0</v>
      </c>
      <c r="AA8" s="7">
        <f>SUM('Reslizumab by Mo:IV Steroid by Mo'!AA8)</f>
        <v>0</v>
      </c>
      <c r="AB8" s="7">
        <f>SUM('Reslizumab by Mo:IV Steroid by Mo'!AB8)</f>
        <v>500</v>
      </c>
    </row>
    <row r="10" spans="1:28">
      <c r="A10" s="14" t="s">
        <v>106</v>
      </c>
      <c r="D10" s="3">
        <f>SUM('Reslizumab by Mo:IV Steroid by Mo'!D10)</f>
        <v>-52083.199999999997</v>
      </c>
      <c r="E10" s="7">
        <f>E5-SUM(E7:E8)</f>
        <v>1168.5920000000006</v>
      </c>
      <c r="F10" s="7">
        <f t="shared" ref="F10:AB10" si="0">F5-SUM(F7:F8)</f>
        <v>2337.1840000000011</v>
      </c>
      <c r="G10" s="7">
        <f t="shared" si="0"/>
        <v>3505.775999999998</v>
      </c>
      <c r="H10" s="7">
        <f t="shared" si="0"/>
        <v>4674.3680000000022</v>
      </c>
      <c r="I10" s="7">
        <f t="shared" si="0"/>
        <v>5842.9600000000028</v>
      </c>
      <c r="J10" s="7">
        <f t="shared" si="0"/>
        <v>7011.551999999996</v>
      </c>
      <c r="K10" s="7">
        <f t="shared" si="0"/>
        <v>9348.7360000000044</v>
      </c>
      <c r="L10" s="7">
        <f t="shared" si="0"/>
        <v>11685.920000000006</v>
      </c>
      <c r="M10" s="7">
        <f t="shared" si="0"/>
        <v>14023.103999999992</v>
      </c>
      <c r="N10" s="7">
        <f t="shared" si="0"/>
        <v>16360.288</v>
      </c>
      <c r="O10" s="7">
        <f t="shared" si="0"/>
        <v>18697.472000000009</v>
      </c>
      <c r="P10" s="7">
        <f t="shared" si="0"/>
        <v>20534.655999999988</v>
      </c>
      <c r="Q10" s="7">
        <f t="shared" si="0"/>
        <v>23371.840000000011</v>
      </c>
      <c r="R10" s="7">
        <f t="shared" si="0"/>
        <v>23371.840000000011</v>
      </c>
      <c r="S10" s="7">
        <f t="shared" si="0"/>
        <v>23371.840000000011</v>
      </c>
      <c r="T10" s="7">
        <f t="shared" si="0"/>
        <v>23371.840000000011</v>
      </c>
      <c r="U10" s="7">
        <f t="shared" si="0"/>
        <v>23371.840000000011</v>
      </c>
      <c r="V10" s="7">
        <f t="shared" si="0"/>
        <v>23371.840000000011</v>
      </c>
      <c r="W10" s="7">
        <f t="shared" si="0"/>
        <v>23371.840000000011</v>
      </c>
      <c r="X10" s="7">
        <f t="shared" si="0"/>
        <v>23371.840000000011</v>
      </c>
      <c r="Y10" s="7">
        <f t="shared" si="0"/>
        <v>23371.840000000011</v>
      </c>
      <c r="Z10" s="7">
        <f t="shared" si="0"/>
        <v>23371.840000000011</v>
      </c>
      <c r="AA10" s="7">
        <f t="shared" si="0"/>
        <v>23371.840000000011</v>
      </c>
      <c r="AB10" s="7">
        <f t="shared" si="0"/>
        <v>22871.840000000011</v>
      </c>
    </row>
    <row r="12" spans="1:28">
      <c r="A12" s="14" t="s">
        <v>105</v>
      </c>
      <c r="D12" s="3">
        <f>D10</f>
        <v>-52083.199999999997</v>
      </c>
      <c r="E12" s="3">
        <f t="shared" ref="E12:N12" si="1">D12+E10</f>
        <v>-50914.607999999993</v>
      </c>
      <c r="F12" s="3">
        <f t="shared" si="1"/>
        <v>-48577.423999999992</v>
      </c>
      <c r="G12" s="3">
        <f t="shared" si="1"/>
        <v>-45071.647999999994</v>
      </c>
      <c r="H12" s="3">
        <f t="shared" si="1"/>
        <v>-40397.279999999992</v>
      </c>
      <c r="I12" s="3">
        <f t="shared" si="1"/>
        <v>-34554.319999999992</v>
      </c>
      <c r="J12" s="3">
        <f t="shared" si="1"/>
        <v>-27542.767999999996</v>
      </c>
      <c r="K12" s="3">
        <f t="shared" si="1"/>
        <v>-18194.031999999992</v>
      </c>
      <c r="L12" s="3">
        <f t="shared" si="1"/>
        <v>-6508.1119999999864</v>
      </c>
      <c r="M12" s="3">
        <f t="shared" si="1"/>
        <v>7514.9920000000056</v>
      </c>
      <c r="N12" s="3">
        <f t="shared" si="1"/>
        <v>23875.280000000006</v>
      </c>
      <c r="O12" s="3">
        <f t="shared" ref="O12:AB12" si="2">N12+O10</f>
        <v>42572.752000000015</v>
      </c>
      <c r="P12" s="3">
        <f t="shared" si="2"/>
        <v>63107.408000000003</v>
      </c>
      <c r="Q12" s="3">
        <f t="shared" si="2"/>
        <v>86479.248000000021</v>
      </c>
      <c r="R12" s="3">
        <f t="shared" si="2"/>
        <v>109851.08800000003</v>
      </c>
      <c r="S12" s="3">
        <f t="shared" si="2"/>
        <v>133222.92800000004</v>
      </c>
      <c r="T12" s="3">
        <f t="shared" si="2"/>
        <v>156594.76800000004</v>
      </c>
      <c r="U12" s="3">
        <f t="shared" si="2"/>
        <v>179966.60800000007</v>
      </c>
      <c r="V12" s="3">
        <f t="shared" si="2"/>
        <v>203338.44800000009</v>
      </c>
      <c r="W12" s="3">
        <f t="shared" si="2"/>
        <v>226710.28800000012</v>
      </c>
      <c r="X12" s="3">
        <f t="shared" si="2"/>
        <v>250082.12800000014</v>
      </c>
      <c r="Y12" s="3">
        <f t="shared" si="2"/>
        <v>273453.96800000017</v>
      </c>
      <c r="Z12" s="3">
        <f t="shared" si="2"/>
        <v>296825.80800000019</v>
      </c>
      <c r="AA12" s="3">
        <f t="shared" si="2"/>
        <v>320197.64800000022</v>
      </c>
      <c r="AB12" s="3">
        <f t="shared" si="2"/>
        <v>343069.48800000024</v>
      </c>
    </row>
    <row r="14" spans="1:28">
      <c r="A14" s="14" t="s">
        <v>79</v>
      </c>
    </row>
    <row r="15" spans="1:28">
      <c r="B15" t="s">
        <v>80</v>
      </c>
      <c r="D15" s="15" t="s">
        <v>63</v>
      </c>
      <c r="E15" s="15" t="s">
        <v>81</v>
      </c>
      <c r="F15" s="15" t="s">
        <v>82</v>
      </c>
      <c r="G15" s="15" t="s">
        <v>83</v>
      </c>
      <c r="H15" s="15" t="s">
        <v>84</v>
      </c>
      <c r="I15" s="15" t="s">
        <v>85</v>
      </c>
      <c r="J15" s="15" t="s">
        <v>86</v>
      </c>
      <c r="K15" s="15" t="s">
        <v>87</v>
      </c>
      <c r="L15" s="15" t="s">
        <v>88</v>
      </c>
      <c r="M15" s="15" t="s">
        <v>89</v>
      </c>
      <c r="N15" s="15" t="s">
        <v>90</v>
      </c>
      <c r="O15" s="15" t="s">
        <v>91</v>
      </c>
      <c r="P15" s="15" t="s">
        <v>92</v>
      </c>
      <c r="Q15" s="15" t="s">
        <v>93</v>
      </c>
      <c r="R15" s="15" t="s">
        <v>94</v>
      </c>
      <c r="S15" s="15" t="s">
        <v>95</v>
      </c>
      <c r="T15" s="15" t="s">
        <v>96</v>
      </c>
      <c r="U15" s="15" t="s">
        <v>97</v>
      </c>
      <c r="V15" s="15" t="s">
        <v>98</v>
      </c>
      <c r="W15" s="15" t="s">
        <v>99</v>
      </c>
      <c r="X15" s="15" t="s">
        <v>100</v>
      </c>
      <c r="Y15" s="15" t="s">
        <v>101</v>
      </c>
      <c r="Z15" s="15" t="s">
        <v>102</v>
      </c>
      <c r="AA15" s="15" t="s">
        <v>103</v>
      </c>
      <c r="AB15" s="15" t="s">
        <v>104</v>
      </c>
    </row>
    <row r="16" spans="1:28">
      <c r="B16" t="s">
        <v>47</v>
      </c>
      <c r="D16" s="1">
        <f>D5</f>
        <v>0</v>
      </c>
      <c r="E16" s="1">
        <f t="shared" ref="E16:AB16" si="3">E5</f>
        <v>5204.2980000000007</v>
      </c>
      <c r="F16" s="1">
        <f t="shared" si="3"/>
        <v>10408.596000000001</v>
      </c>
      <c r="G16" s="1">
        <f t="shared" si="3"/>
        <v>15612.894</v>
      </c>
      <c r="H16" s="1">
        <f t="shared" si="3"/>
        <v>20817.192000000003</v>
      </c>
      <c r="I16" s="1">
        <f t="shared" si="3"/>
        <v>26021.49</v>
      </c>
      <c r="J16" s="1">
        <f t="shared" si="3"/>
        <v>31225.788</v>
      </c>
      <c r="K16" s="1">
        <f t="shared" si="3"/>
        <v>41634.384000000005</v>
      </c>
      <c r="L16" s="1">
        <f t="shared" si="3"/>
        <v>52042.98</v>
      </c>
      <c r="M16" s="1">
        <f t="shared" si="3"/>
        <v>62451.576000000001</v>
      </c>
      <c r="N16" s="1">
        <f t="shared" si="3"/>
        <v>72860.172000000006</v>
      </c>
      <c r="O16" s="1">
        <f t="shared" si="3"/>
        <v>83268.768000000011</v>
      </c>
      <c r="P16" s="1">
        <f t="shared" si="3"/>
        <v>93677.364000000001</v>
      </c>
      <c r="Q16" s="1">
        <f t="shared" si="3"/>
        <v>104085.96</v>
      </c>
      <c r="R16" s="1">
        <f t="shared" si="3"/>
        <v>104085.96</v>
      </c>
      <c r="S16" s="1">
        <f t="shared" si="3"/>
        <v>104085.96</v>
      </c>
      <c r="T16" s="1">
        <f t="shared" si="3"/>
        <v>104085.96</v>
      </c>
      <c r="U16" s="1">
        <f t="shared" si="3"/>
        <v>104085.96</v>
      </c>
      <c r="V16" s="1">
        <f t="shared" si="3"/>
        <v>104085.96</v>
      </c>
      <c r="W16" s="1">
        <f t="shared" si="3"/>
        <v>104085.96</v>
      </c>
      <c r="X16" s="1">
        <f t="shared" si="3"/>
        <v>104085.96</v>
      </c>
      <c r="Y16" s="1">
        <f t="shared" si="3"/>
        <v>104085.96</v>
      </c>
      <c r="Z16" s="1">
        <f t="shared" si="3"/>
        <v>104085.96</v>
      </c>
      <c r="AA16" s="1">
        <f t="shared" si="3"/>
        <v>104085.96</v>
      </c>
      <c r="AB16" s="1">
        <f t="shared" si="3"/>
        <v>104085.96</v>
      </c>
    </row>
    <row r="17" spans="1:28">
      <c r="B17" t="s">
        <v>48</v>
      </c>
      <c r="D17" s="1">
        <f>D7</f>
        <v>0</v>
      </c>
      <c r="E17" s="1">
        <f t="shared" ref="E17:AB17" si="4">E7</f>
        <v>4035.7060000000001</v>
      </c>
      <c r="F17" s="1">
        <f t="shared" si="4"/>
        <v>8071.4120000000003</v>
      </c>
      <c r="G17" s="1">
        <f t="shared" si="4"/>
        <v>12107.118000000002</v>
      </c>
      <c r="H17" s="1">
        <f t="shared" si="4"/>
        <v>16142.824000000001</v>
      </c>
      <c r="I17" s="1">
        <f t="shared" si="4"/>
        <v>20178.53</v>
      </c>
      <c r="J17" s="1">
        <f t="shared" si="4"/>
        <v>24214.236000000004</v>
      </c>
      <c r="K17" s="1">
        <f t="shared" si="4"/>
        <v>32285.648000000001</v>
      </c>
      <c r="L17" s="1">
        <f t="shared" si="4"/>
        <v>40357.06</v>
      </c>
      <c r="M17" s="1">
        <f t="shared" si="4"/>
        <v>48428.472000000009</v>
      </c>
      <c r="N17" s="1">
        <f t="shared" si="4"/>
        <v>56499.884000000005</v>
      </c>
      <c r="O17" s="1">
        <f t="shared" si="4"/>
        <v>64571.296000000002</v>
      </c>
      <c r="P17" s="1">
        <f t="shared" si="4"/>
        <v>72642.708000000013</v>
      </c>
      <c r="Q17" s="1">
        <f t="shared" si="4"/>
        <v>80714.12</v>
      </c>
      <c r="R17" s="1">
        <f t="shared" si="4"/>
        <v>80714.12</v>
      </c>
      <c r="S17" s="1">
        <f t="shared" si="4"/>
        <v>80714.12</v>
      </c>
      <c r="T17" s="1">
        <f t="shared" si="4"/>
        <v>80714.12</v>
      </c>
      <c r="U17" s="1">
        <f t="shared" si="4"/>
        <v>80714.12</v>
      </c>
      <c r="V17" s="1">
        <f t="shared" si="4"/>
        <v>80714.12</v>
      </c>
      <c r="W17" s="1">
        <f t="shared" si="4"/>
        <v>80714.12</v>
      </c>
      <c r="X17" s="1">
        <f t="shared" si="4"/>
        <v>80714.12</v>
      </c>
      <c r="Y17" s="1">
        <f t="shared" si="4"/>
        <v>80714.12</v>
      </c>
      <c r="Z17" s="1">
        <f t="shared" si="4"/>
        <v>80714.12</v>
      </c>
      <c r="AA17" s="1">
        <f t="shared" si="4"/>
        <v>80714.12</v>
      </c>
      <c r="AB17" s="1">
        <f t="shared" si="4"/>
        <v>80714.12</v>
      </c>
    </row>
    <row r="18" spans="1:28">
      <c r="B18" t="s">
        <v>41</v>
      </c>
      <c r="D18" s="1">
        <f>D12</f>
        <v>-52083.199999999997</v>
      </c>
      <c r="E18" s="1">
        <f t="shared" ref="E18:AB18" si="5">E12</f>
        <v>-50914.607999999993</v>
      </c>
      <c r="F18" s="1">
        <f t="shared" si="5"/>
        <v>-48577.423999999992</v>
      </c>
      <c r="G18" s="1">
        <f t="shared" si="5"/>
        <v>-45071.647999999994</v>
      </c>
      <c r="H18" s="1">
        <f t="shared" si="5"/>
        <v>-40397.279999999992</v>
      </c>
      <c r="I18" s="1">
        <f t="shared" si="5"/>
        <v>-34554.319999999992</v>
      </c>
      <c r="J18" s="1">
        <f t="shared" si="5"/>
        <v>-27542.767999999996</v>
      </c>
      <c r="K18" s="1">
        <f t="shared" si="5"/>
        <v>-18194.031999999992</v>
      </c>
      <c r="L18" s="1">
        <f t="shared" si="5"/>
        <v>-6508.1119999999864</v>
      </c>
      <c r="M18" s="1">
        <f t="shared" si="5"/>
        <v>7514.9920000000056</v>
      </c>
      <c r="N18" s="1">
        <f t="shared" si="5"/>
        <v>23875.280000000006</v>
      </c>
      <c r="O18" s="1">
        <f t="shared" si="5"/>
        <v>42572.752000000015</v>
      </c>
      <c r="P18" s="1">
        <f t="shared" si="5"/>
        <v>63107.408000000003</v>
      </c>
      <c r="Q18" s="1">
        <f t="shared" si="5"/>
        <v>86479.248000000021</v>
      </c>
      <c r="R18" s="1">
        <f t="shared" si="5"/>
        <v>109851.08800000003</v>
      </c>
      <c r="S18" s="1">
        <f t="shared" si="5"/>
        <v>133222.92800000004</v>
      </c>
      <c r="T18" s="1">
        <f t="shared" si="5"/>
        <v>156594.76800000004</v>
      </c>
      <c r="U18" s="1">
        <f t="shared" si="5"/>
        <v>179966.60800000007</v>
      </c>
      <c r="V18" s="1">
        <f t="shared" si="5"/>
        <v>203338.44800000009</v>
      </c>
      <c r="W18" s="1">
        <f t="shared" si="5"/>
        <v>226710.28800000012</v>
      </c>
      <c r="X18" s="1">
        <f t="shared" si="5"/>
        <v>250082.12800000014</v>
      </c>
      <c r="Y18" s="1">
        <f t="shared" si="5"/>
        <v>273453.96800000017</v>
      </c>
      <c r="Z18" s="1">
        <f t="shared" si="5"/>
        <v>296825.80800000019</v>
      </c>
      <c r="AA18" s="1">
        <f t="shared" si="5"/>
        <v>320197.64800000022</v>
      </c>
      <c r="AB18" s="1">
        <f t="shared" si="5"/>
        <v>343069.48800000024</v>
      </c>
    </row>
    <row r="19" spans="1:28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C20" s="14" t="s">
        <v>64</v>
      </c>
      <c r="D20" s="4" t="str">
        <f>IF(ISERROR(INDEX($15:$15,MATCH(1,INDEX(--($D18:$AB18&gt;0),0),0)+3)),"",INDEX($15:$15,MATCH(1,INDEX(--($D18:$AB18&gt;0),0),0)+3))</f>
        <v>9</v>
      </c>
    </row>
    <row r="22" spans="1:28" s="32" customFormat="1" ht="12">
      <c r="A22" s="31" t="s">
        <v>58</v>
      </c>
      <c r="D22" s="35"/>
      <c r="G22" s="35"/>
      <c r="J22" s="35"/>
    </row>
    <row r="23" spans="1:28" s="32" customFormat="1" ht="12">
      <c r="B23" s="33" t="s">
        <v>56</v>
      </c>
      <c r="C23" s="32" t="s">
        <v>116</v>
      </c>
      <c r="D23" s="35"/>
      <c r="G23" s="35"/>
      <c r="J23" s="35"/>
    </row>
    <row r="24" spans="1:28" s="32" customFormat="1" ht="12">
      <c r="B24" s="33" t="s">
        <v>59</v>
      </c>
      <c r="C24" s="32" t="s">
        <v>117</v>
      </c>
    </row>
  </sheetData>
  <pageMargins left="0.25" right="0.25" top="0.75" bottom="0.75" header="0.3" footer="0.3"/>
  <pageSetup paperSize="5" scale="52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workbookViewId="0"/>
  </sheetViews>
  <sheetFormatPr defaultRowHeight="15"/>
  <cols>
    <col min="1" max="2" width="1.7109375" customWidth="1"/>
    <col min="3" max="3" width="24.7109375" customWidth="1"/>
    <col min="4" max="16" width="12.28515625" customWidth="1"/>
    <col min="17" max="28" width="11.7109375" customWidth="1"/>
  </cols>
  <sheetData>
    <row r="1" spans="1:28">
      <c r="A1" s="14" t="s">
        <v>155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">
      <c r="D2" s="16" t="s">
        <v>76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pans="1:28">
      <c r="A3" s="14" t="s">
        <v>42</v>
      </c>
      <c r="E3" s="11">
        <v>1</v>
      </c>
      <c r="F3" s="11">
        <v>2</v>
      </c>
      <c r="G3" s="11">
        <v>3</v>
      </c>
      <c r="H3" s="11">
        <v>4</v>
      </c>
      <c r="I3" s="11">
        <v>5</v>
      </c>
      <c r="J3" s="11">
        <v>6</v>
      </c>
      <c r="K3" s="11">
        <v>8</v>
      </c>
      <c r="L3" s="11">
        <v>10</v>
      </c>
      <c r="M3" s="11">
        <v>12</v>
      </c>
      <c r="N3" s="11">
        <v>14</v>
      </c>
      <c r="O3" s="11">
        <v>16</v>
      </c>
      <c r="P3" s="11">
        <v>18</v>
      </c>
      <c r="Q3" s="11">
        <v>20</v>
      </c>
      <c r="R3" s="11">
        <f t="shared" ref="R3:AB3" si="0">Q3</f>
        <v>20</v>
      </c>
      <c r="S3" s="11">
        <f t="shared" si="0"/>
        <v>20</v>
      </c>
      <c r="T3" s="11">
        <f t="shared" si="0"/>
        <v>20</v>
      </c>
      <c r="U3" s="11">
        <f t="shared" si="0"/>
        <v>20</v>
      </c>
      <c r="V3" s="11">
        <f t="shared" si="0"/>
        <v>20</v>
      </c>
      <c r="W3" s="11">
        <f t="shared" si="0"/>
        <v>20</v>
      </c>
      <c r="X3" s="11">
        <f t="shared" si="0"/>
        <v>20</v>
      </c>
      <c r="Y3" s="11">
        <f t="shared" si="0"/>
        <v>20</v>
      </c>
      <c r="Z3" s="11">
        <f t="shared" si="0"/>
        <v>20</v>
      </c>
      <c r="AA3" s="11">
        <f t="shared" si="0"/>
        <v>20</v>
      </c>
      <c r="AB3" s="11">
        <f t="shared" si="0"/>
        <v>20</v>
      </c>
    </row>
    <row r="5" spans="1:28">
      <c r="A5" t="s">
        <v>30</v>
      </c>
      <c r="E5" s="3">
        <f t="shared" ref="E5:AB5" si="1">E3*Price_1</f>
        <v>1869</v>
      </c>
      <c r="F5" s="3">
        <f t="shared" si="1"/>
        <v>3738</v>
      </c>
      <c r="G5" s="3">
        <f t="shared" si="1"/>
        <v>5607</v>
      </c>
      <c r="H5" s="3">
        <f t="shared" si="1"/>
        <v>7476</v>
      </c>
      <c r="I5" s="3">
        <f t="shared" si="1"/>
        <v>9345</v>
      </c>
      <c r="J5" s="3">
        <f t="shared" si="1"/>
        <v>11214</v>
      </c>
      <c r="K5" s="3">
        <f t="shared" si="1"/>
        <v>14952</v>
      </c>
      <c r="L5" s="3">
        <f t="shared" si="1"/>
        <v>18690</v>
      </c>
      <c r="M5" s="3">
        <f t="shared" si="1"/>
        <v>22428</v>
      </c>
      <c r="N5" s="3">
        <f t="shared" si="1"/>
        <v>26166</v>
      </c>
      <c r="O5" s="3">
        <f t="shared" si="1"/>
        <v>29904</v>
      </c>
      <c r="P5" s="3">
        <f t="shared" si="1"/>
        <v>33642</v>
      </c>
      <c r="Q5" s="3">
        <f t="shared" si="1"/>
        <v>37380</v>
      </c>
      <c r="R5" s="3">
        <f t="shared" si="1"/>
        <v>37380</v>
      </c>
      <c r="S5" s="3">
        <f t="shared" si="1"/>
        <v>37380</v>
      </c>
      <c r="T5" s="3">
        <f t="shared" si="1"/>
        <v>37380</v>
      </c>
      <c r="U5" s="3">
        <f t="shared" si="1"/>
        <v>37380</v>
      </c>
      <c r="V5" s="3">
        <f t="shared" si="1"/>
        <v>37380</v>
      </c>
      <c r="W5" s="3">
        <f t="shared" si="1"/>
        <v>37380</v>
      </c>
      <c r="X5" s="3">
        <f t="shared" si="1"/>
        <v>37380</v>
      </c>
      <c r="Y5" s="3">
        <f t="shared" si="1"/>
        <v>37380</v>
      </c>
      <c r="Z5" s="3">
        <f t="shared" si="1"/>
        <v>37380</v>
      </c>
      <c r="AA5" s="3">
        <f t="shared" si="1"/>
        <v>37380</v>
      </c>
      <c r="AB5" s="3">
        <f t="shared" si="1"/>
        <v>37380</v>
      </c>
    </row>
    <row r="7" spans="1:28">
      <c r="A7" t="s">
        <v>130</v>
      </c>
      <c r="E7" s="7">
        <f t="shared" ref="E7:AB7" si="2">E3*Cost_1</f>
        <v>1701</v>
      </c>
      <c r="F7" s="7">
        <f t="shared" si="2"/>
        <v>3402</v>
      </c>
      <c r="G7" s="7">
        <f t="shared" si="2"/>
        <v>5103</v>
      </c>
      <c r="H7" s="7">
        <f t="shared" si="2"/>
        <v>6804</v>
      </c>
      <c r="I7" s="7">
        <f t="shared" si="2"/>
        <v>8505</v>
      </c>
      <c r="J7" s="7">
        <f t="shared" si="2"/>
        <v>10206</v>
      </c>
      <c r="K7" s="7">
        <f t="shared" si="2"/>
        <v>13608</v>
      </c>
      <c r="L7" s="7">
        <f t="shared" si="2"/>
        <v>17010</v>
      </c>
      <c r="M7" s="7">
        <f t="shared" si="2"/>
        <v>20412</v>
      </c>
      <c r="N7" s="7">
        <f t="shared" si="2"/>
        <v>23814</v>
      </c>
      <c r="O7" s="7">
        <f t="shared" si="2"/>
        <v>27216</v>
      </c>
      <c r="P7" s="7">
        <f t="shared" si="2"/>
        <v>30618</v>
      </c>
      <c r="Q7" s="7">
        <f t="shared" si="2"/>
        <v>34020</v>
      </c>
      <c r="R7" s="7">
        <f t="shared" si="2"/>
        <v>34020</v>
      </c>
      <c r="S7" s="7">
        <f t="shared" si="2"/>
        <v>34020</v>
      </c>
      <c r="T7" s="7">
        <f t="shared" si="2"/>
        <v>34020</v>
      </c>
      <c r="U7" s="7">
        <f t="shared" si="2"/>
        <v>34020</v>
      </c>
      <c r="V7" s="7">
        <f t="shared" si="2"/>
        <v>34020</v>
      </c>
      <c r="W7" s="7">
        <f t="shared" si="2"/>
        <v>34020</v>
      </c>
      <c r="X7" s="7">
        <f t="shared" si="2"/>
        <v>34020</v>
      </c>
      <c r="Y7" s="7">
        <f t="shared" si="2"/>
        <v>34020</v>
      </c>
      <c r="Z7" s="7">
        <f t="shared" si="2"/>
        <v>34020</v>
      </c>
      <c r="AA7" s="7">
        <f t="shared" si="2"/>
        <v>34020</v>
      </c>
      <c r="AB7" s="7">
        <f t="shared" si="2"/>
        <v>34020</v>
      </c>
    </row>
    <row r="8" spans="1:28">
      <c r="A8" s="34" t="s">
        <v>131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>Annual_Cost_Yr1_T1</f>
        <v>500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>
        <f>Annual_Cost_Yr2_T1</f>
        <v>500</v>
      </c>
    </row>
    <row r="10" spans="1:28">
      <c r="A10" s="14" t="s">
        <v>106</v>
      </c>
      <c r="D10" s="2">
        <f>-Startup_Investment1</f>
        <v>-26200</v>
      </c>
      <c r="E10" s="7">
        <f>E5-SUM(E7:E8)</f>
        <v>168</v>
      </c>
      <c r="F10" s="7">
        <f t="shared" ref="F10:AB10" si="3">F5-SUM(F7:F8)</f>
        <v>336</v>
      </c>
      <c r="G10" s="7">
        <f t="shared" si="3"/>
        <v>504</v>
      </c>
      <c r="H10" s="7">
        <f t="shared" si="3"/>
        <v>672</v>
      </c>
      <c r="I10" s="7">
        <f t="shared" si="3"/>
        <v>840</v>
      </c>
      <c r="J10" s="7">
        <f t="shared" si="3"/>
        <v>1008</v>
      </c>
      <c r="K10" s="7">
        <f t="shared" si="3"/>
        <v>1344</v>
      </c>
      <c r="L10" s="7">
        <f t="shared" si="3"/>
        <v>1680</v>
      </c>
      <c r="M10" s="7">
        <f t="shared" si="3"/>
        <v>2016</v>
      </c>
      <c r="N10" s="7">
        <f t="shared" si="3"/>
        <v>2352</v>
      </c>
      <c r="O10" s="7">
        <f t="shared" si="3"/>
        <v>2688</v>
      </c>
      <c r="P10" s="7">
        <f t="shared" si="3"/>
        <v>2524</v>
      </c>
      <c r="Q10" s="7">
        <f t="shared" si="3"/>
        <v>3360</v>
      </c>
      <c r="R10" s="7">
        <f t="shared" si="3"/>
        <v>3360</v>
      </c>
      <c r="S10" s="7">
        <f t="shared" si="3"/>
        <v>3360</v>
      </c>
      <c r="T10" s="7">
        <f t="shared" si="3"/>
        <v>3360</v>
      </c>
      <c r="U10" s="7">
        <f t="shared" si="3"/>
        <v>3360</v>
      </c>
      <c r="V10" s="7">
        <f t="shared" si="3"/>
        <v>3360</v>
      </c>
      <c r="W10" s="7">
        <f t="shared" si="3"/>
        <v>3360</v>
      </c>
      <c r="X10" s="7">
        <f t="shared" si="3"/>
        <v>3360</v>
      </c>
      <c r="Y10" s="7">
        <f t="shared" si="3"/>
        <v>3360</v>
      </c>
      <c r="Z10" s="7">
        <f t="shared" si="3"/>
        <v>3360</v>
      </c>
      <c r="AA10" s="7">
        <f t="shared" si="3"/>
        <v>3360</v>
      </c>
      <c r="AB10" s="7">
        <f t="shared" si="3"/>
        <v>2860</v>
      </c>
    </row>
    <row r="12" spans="1:28">
      <c r="A12" s="14" t="s">
        <v>105</v>
      </c>
      <c r="D12" s="3">
        <f>D10</f>
        <v>-26200</v>
      </c>
      <c r="E12" s="3">
        <f t="shared" ref="E12:AB12" si="4">D12+E10</f>
        <v>-26032</v>
      </c>
      <c r="F12" s="3">
        <f t="shared" si="4"/>
        <v>-25696</v>
      </c>
      <c r="G12" s="3">
        <f t="shared" si="4"/>
        <v>-25192</v>
      </c>
      <c r="H12" s="3">
        <f t="shared" si="4"/>
        <v>-24520</v>
      </c>
      <c r="I12" s="3">
        <f t="shared" si="4"/>
        <v>-23680</v>
      </c>
      <c r="J12" s="3">
        <f t="shared" si="4"/>
        <v>-22672</v>
      </c>
      <c r="K12" s="3">
        <f t="shared" si="4"/>
        <v>-21328</v>
      </c>
      <c r="L12" s="3">
        <f t="shared" si="4"/>
        <v>-19648</v>
      </c>
      <c r="M12" s="3">
        <f t="shared" si="4"/>
        <v>-17632</v>
      </c>
      <c r="N12" s="3">
        <f t="shared" si="4"/>
        <v>-15280</v>
      </c>
      <c r="O12" s="3">
        <f t="shared" si="4"/>
        <v>-12592</v>
      </c>
      <c r="P12" s="3">
        <f t="shared" si="4"/>
        <v>-10068</v>
      </c>
      <c r="Q12" s="3">
        <f t="shared" si="4"/>
        <v>-6708</v>
      </c>
      <c r="R12" s="3">
        <f t="shared" si="4"/>
        <v>-3348</v>
      </c>
      <c r="S12" s="3">
        <f t="shared" si="4"/>
        <v>12</v>
      </c>
      <c r="T12" s="3">
        <f t="shared" si="4"/>
        <v>3372</v>
      </c>
      <c r="U12" s="3">
        <f t="shared" si="4"/>
        <v>6732</v>
      </c>
      <c r="V12" s="3">
        <f t="shared" si="4"/>
        <v>10092</v>
      </c>
      <c r="W12" s="3">
        <f t="shared" si="4"/>
        <v>13452</v>
      </c>
      <c r="X12" s="3">
        <f t="shared" si="4"/>
        <v>16812</v>
      </c>
      <c r="Y12" s="3">
        <f t="shared" si="4"/>
        <v>20172</v>
      </c>
      <c r="Z12" s="3">
        <f t="shared" si="4"/>
        <v>23532</v>
      </c>
      <c r="AA12" s="3">
        <f t="shared" si="4"/>
        <v>26892</v>
      </c>
      <c r="AB12" s="3">
        <f t="shared" si="4"/>
        <v>29752</v>
      </c>
    </row>
    <row r="14" spans="1:28">
      <c r="A14" s="14" t="s">
        <v>79</v>
      </c>
    </row>
    <row r="15" spans="1:28">
      <c r="B15" t="s">
        <v>80</v>
      </c>
      <c r="D15" s="15" t="s">
        <v>63</v>
      </c>
      <c r="E15" s="15" t="s">
        <v>81</v>
      </c>
      <c r="F15" s="15" t="s">
        <v>82</v>
      </c>
      <c r="G15" s="15" t="s">
        <v>83</v>
      </c>
      <c r="H15" s="15" t="s">
        <v>84</v>
      </c>
      <c r="I15" s="15" t="s">
        <v>85</v>
      </c>
      <c r="J15" s="15" t="s">
        <v>86</v>
      </c>
      <c r="K15" s="15" t="s">
        <v>87</v>
      </c>
      <c r="L15" s="15" t="s">
        <v>88</v>
      </c>
      <c r="M15" s="15" t="s">
        <v>89</v>
      </c>
      <c r="N15" s="15" t="s">
        <v>90</v>
      </c>
      <c r="O15" s="15" t="s">
        <v>91</v>
      </c>
      <c r="P15" s="15" t="s">
        <v>92</v>
      </c>
      <c r="Q15" s="15" t="s">
        <v>93</v>
      </c>
      <c r="R15" s="15" t="s">
        <v>94</v>
      </c>
      <c r="S15" s="15" t="s">
        <v>95</v>
      </c>
      <c r="T15" s="15" t="s">
        <v>96</v>
      </c>
      <c r="U15" s="15" t="s">
        <v>97</v>
      </c>
      <c r="V15" s="15" t="s">
        <v>98</v>
      </c>
      <c r="W15" s="15" t="s">
        <v>99</v>
      </c>
      <c r="X15" s="15" t="s">
        <v>100</v>
      </c>
      <c r="Y15" s="15" t="s">
        <v>101</v>
      </c>
      <c r="Z15" s="15" t="s">
        <v>102</v>
      </c>
      <c r="AA15" s="15" t="s">
        <v>103</v>
      </c>
      <c r="AB15" s="15" t="s">
        <v>104</v>
      </c>
    </row>
    <row r="16" spans="1:28">
      <c r="B16" t="s">
        <v>47</v>
      </c>
      <c r="D16" s="1">
        <f>D5</f>
        <v>0</v>
      </c>
      <c r="E16" s="1">
        <f t="shared" ref="E16:AB16" si="5">E5</f>
        <v>1869</v>
      </c>
      <c r="F16" s="1">
        <f t="shared" si="5"/>
        <v>3738</v>
      </c>
      <c r="G16" s="1">
        <f t="shared" si="5"/>
        <v>5607</v>
      </c>
      <c r="H16" s="1">
        <f t="shared" si="5"/>
        <v>7476</v>
      </c>
      <c r="I16" s="1">
        <f t="shared" si="5"/>
        <v>9345</v>
      </c>
      <c r="J16" s="1">
        <f t="shared" si="5"/>
        <v>11214</v>
      </c>
      <c r="K16" s="1">
        <f t="shared" si="5"/>
        <v>14952</v>
      </c>
      <c r="L16" s="1">
        <f t="shared" si="5"/>
        <v>18690</v>
      </c>
      <c r="M16" s="1">
        <f t="shared" si="5"/>
        <v>22428</v>
      </c>
      <c r="N16" s="1">
        <f t="shared" si="5"/>
        <v>26166</v>
      </c>
      <c r="O16" s="1">
        <f t="shared" si="5"/>
        <v>29904</v>
      </c>
      <c r="P16" s="1">
        <f t="shared" si="5"/>
        <v>33642</v>
      </c>
      <c r="Q16" s="1">
        <f t="shared" si="5"/>
        <v>37380</v>
      </c>
      <c r="R16" s="1">
        <f t="shared" si="5"/>
        <v>37380</v>
      </c>
      <c r="S16" s="1">
        <f t="shared" si="5"/>
        <v>37380</v>
      </c>
      <c r="T16" s="1">
        <f t="shared" si="5"/>
        <v>37380</v>
      </c>
      <c r="U16" s="1">
        <f t="shared" si="5"/>
        <v>37380</v>
      </c>
      <c r="V16" s="1">
        <f t="shared" si="5"/>
        <v>37380</v>
      </c>
      <c r="W16" s="1">
        <f t="shared" si="5"/>
        <v>37380</v>
      </c>
      <c r="X16" s="1">
        <f t="shared" si="5"/>
        <v>37380</v>
      </c>
      <c r="Y16" s="1">
        <f t="shared" si="5"/>
        <v>37380</v>
      </c>
      <c r="Z16" s="1">
        <f t="shared" si="5"/>
        <v>37380</v>
      </c>
      <c r="AA16" s="1">
        <f t="shared" si="5"/>
        <v>37380</v>
      </c>
      <c r="AB16" s="1">
        <f t="shared" si="5"/>
        <v>37380</v>
      </c>
    </row>
    <row r="17" spans="2:28">
      <c r="B17" t="s">
        <v>48</v>
      </c>
      <c r="D17" s="1">
        <f>D7</f>
        <v>0</v>
      </c>
      <c r="E17" s="1">
        <f t="shared" ref="E17:AB17" si="6">E7</f>
        <v>1701</v>
      </c>
      <c r="F17" s="1">
        <f t="shared" si="6"/>
        <v>3402</v>
      </c>
      <c r="G17" s="1">
        <f t="shared" si="6"/>
        <v>5103</v>
      </c>
      <c r="H17" s="1">
        <f t="shared" si="6"/>
        <v>6804</v>
      </c>
      <c r="I17" s="1">
        <f t="shared" si="6"/>
        <v>8505</v>
      </c>
      <c r="J17" s="1">
        <f t="shared" si="6"/>
        <v>10206</v>
      </c>
      <c r="K17" s="1">
        <f t="shared" si="6"/>
        <v>13608</v>
      </c>
      <c r="L17" s="1">
        <f t="shared" si="6"/>
        <v>17010</v>
      </c>
      <c r="M17" s="1">
        <f t="shared" si="6"/>
        <v>20412</v>
      </c>
      <c r="N17" s="1">
        <f t="shared" si="6"/>
        <v>23814</v>
      </c>
      <c r="O17" s="1">
        <f t="shared" si="6"/>
        <v>27216</v>
      </c>
      <c r="P17" s="1">
        <f t="shared" si="6"/>
        <v>30618</v>
      </c>
      <c r="Q17" s="1">
        <f t="shared" si="6"/>
        <v>34020</v>
      </c>
      <c r="R17" s="1">
        <f t="shared" si="6"/>
        <v>34020</v>
      </c>
      <c r="S17" s="1">
        <f t="shared" si="6"/>
        <v>34020</v>
      </c>
      <c r="T17" s="1">
        <f t="shared" si="6"/>
        <v>34020</v>
      </c>
      <c r="U17" s="1">
        <f t="shared" si="6"/>
        <v>34020</v>
      </c>
      <c r="V17" s="1">
        <f t="shared" si="6"/>
        <v>34020</v>
      </c>
      <c r="W17" s="1">
        <f t="shared" si="6"/>
        <v>34020</v>
      </c>
      <c r="X17" s="1">
        <f t="shared" si="6"/>
        <v>34020</v>
      </c>
      <c r="Y17" s="1">
        <f t="shared" si="6"/>
        <v>34020</v>
      </c>
      <c r="Z17" s="1">
        <f t="shared" si="6"/>
        <v>34020</v>
      </c>
      <c r="AA17" s="1">
        <f t="shared" si="6"/>
        <v>34020</v>
      </c>
      <c r="AB17" s="1">
        <f t="shared" si="6"/>
        <v>34020</v>
      </c>
    </row>
    <row r="18" spans="2:28">
      <c r="B18" t="s">
        <v>41</v>
      </c>
      <c r="D18" s="1">
        <f>D12</f>
        <v>-26200</v>
      </c>
      <c r="E18" s="1">
        <f t="shared" ref="E18:AB18" si="7">E12</f>
        <v>-26032</v>
      </c>
      <c r="F18" s="1">
        <f t="shared" si="7"/>
        <v>-25696</v>
      </c>
      <c r="G18" s="1">
        <f t="shared" si="7"/>
        <v>-25192</v>
      </c>
      <c r="H18" s="1">
        <f t="shared" si="7"/>
        <v>-24520</v>
      </c>
      <c r="I18" s="1">
        <f t="shared" si="7"/>
        <v>-23680</v>
      </c>
      <c r="J18" s="1">
        <f t="shared" si="7"/>
        <v>-22672</v>
      </c>
      <c r="K18" s="1">
        <f t="shared" si="7"/>
        <v>-21328</v>
      </c>
      <c r="L18" s="1">
        <f t="shared" si="7"/>
        <v>-19648</v>
      </c>
      <c r="M18" s="1">
        <f t="shared" si="7"/>
        <v>-17632</v>
      </c>
      <c r="N18" s="1">
        <f t="shared" si="7"/>
        <v>-15280</v>
      </c>
      <c r="O18" s="1">
        <f t="shared" si="7"/>
        <v>-12592</v>
      </c>
      <c r="P18" s="1">
        <f t="shared" si="7"/>
        <v>-10068</v>
      </c>
      <c r="Q18" s="1">
        <f t="shared" si="7"/>
        <v>-6708</v>
      </c>
      <c r="R18" s="1">
        <f t="shared" si="7"/>
        <v>-3348</v>
      </c>
      <c r="S18" s="1">
        <f t="shared" si="7"/>
        <v>12</v>
      </c>
      <c r="T18" s="1">
        <f t="shared" si="7"/>
        <v>3372</v>
      </c>
      <c r="U18" s="1">
        <f t="shared" si="7"/>
        <v>6732</v>
      </c>
      <c r="V18" s="1">
        <f t="shared" si="7"/>
        <v>10092</v>
      </c>
      <c r="W18" s="1">
        <f t="shared" si="7"/>
        <v>13452</v>
      </c>
      <c r="X18" s="1">
        <f t="shared" si="7"/>
        <v>16812</v>
      </c>
      <c r="Y18" s="1">
        <f t="shared" si="7"/>
        <v>20172</v>
      </c>
      <c r="Z18" s="1">
        <f t="shared" si="7"/>
        <v>23532</v>
      </c>
      <c r="AA18" s="1">
        <f t="shared" si="7"/>
        <v>26892</v>
      </c>
      <c r="AB18" s="1">
        <f t="shared" si="7"/>
        <v>29752</v>
      </c>
    </row>
    <row r="19" spans="2:28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>
      <c r="C20" s="14" t="s">
        <v>64</v>
      </c>
      <c r="D20" s="4" t="str">
        <f>IF(ISERROR(INDEX($15:$15,MATCH(1,INDEX(--($D18:$AB18&gt;0),0),0)+3)),"",INDEX($15:$15,MATCH(1,INDEX(--($D18:$AB18&gt;0),0),0)+3))</f>
        <v>15</v>
      </c>
    </row>
    <row r="22" spans="2:28">
      <c r="C22" s="17" t="s">
        <v>60</v>
      </c>
    </row>
  </sheetData>
  <pageMargins left="0.25" right="0.25" top="0.75" bottom="0.75" header="0.3" footer="0.3"/>
  <pageSetup paperSize="5" scale="52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workbookViewId="0"/>
  </sheetViews>
  <sheetFormatPr defaultRowHeight="15"/>
  <cols>
    <col min="1" max="2" width="1.7109375" customWidth="1"/>
    <col min="3" max="3" width="24.7109375" customWidth="1"/>
    <col min="4" max="16" width="12.28515625" customWidth="1"/>
    <col min="17" max="28" width="11.7109375" customWidth="1"/>
  </cols>
  <sheetData>
    <row r="1" spans="1:28">
      <c r="A1" s="14" t="s">
        <v>156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">
      <c r="D2" s="16" t="s">
        <v>76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pans="1:28">
      <c r="A3" s="14" t="s">
        <v>42</v>
      </c>
      <c r="E3" s="11">
        <v>1</v>
      </c>
      <c r="F3" s="11">
        <v>2</v>
      </c>
      <c r="G3" s="11">
        <v>3</v>
      </c>
      <c r="H3" s="11">
        <v>4</v>
      </c>
      <c r="I3" s="11">
        <v>5</v>
      </c>
      <c r="J3" s="11">
        <v>6</v>
      </c>
      <c r="K3" s="11">
        <v>8</v>
      </c>
      <c r="L3" s="11">
        <v>10</v>
      </c>
      <c r="M3" s="11">
        <v>12</v>
      </c>
      <c r="N3" s="11">
        <v>14</v>
      </c>
      <c r="O3" s="11">
        <v>16</v>
      </c>
      <c r="P3" s="11">
        <v>18</v>
      </c>
      <c r="Q3" s="11">
        <v>20</v>
      </c>
      <c r="R3" s="11">
        <f t="shared" ref="R3:AB3" si="0">Q3</f>
        <v>20</v>
      </c>
      <c r="S3" s="11">
        <f t="shared" si="0"/>
        <v>20</v>
      </c>
      <c r="T3" s="11">
        <f t="shared" si="0"/>
        <v>20</v>
      </c>
      <c r="U3" s="11">
        <f t="shared" si="0"/>
        <v>20</v>
      </c>
      <c r="V3" s="11">
        <f t="shared" si="0"/>
        <v>20</v>
      </c>
      <c r="W3" s="11">
        <f t="shared" si="0"/>
        <v>20</v>
      </c>
      <c r="X3" s="11">
        <f t="shared" si="0"/>
        <v>20</v>
      </c>
      <c r="Y3" s="11">
        <f t="shared" si="0"/>
        <v>20</v>
      </c>
      <c r="Z3" s="11">
        <f t="shared" si="0"/>
        <v>20</v>
      </c>
      <c r="AA3" s="11">
        <f t="shared" si="0"/>
        <v>20</v>
      </c>
      <c r="AB3" s="11">
        <f t="shared" si="0"/>
        <v>20</v>
      </c>
    </row>
    <row r="5" spans="1:28">
      <c r="A5" t="s">
        <v>30</v>
      </c>
      <c r="E5" s="3">
        <f t="shared" ref="E5:AB5" si="1">E3*Price_2</f>
        <v>3062.2980000000002</v>
      </c>
      <c r="F5" s="3">
        <f t="shared" si="1"/>
        <v>6124.5960000000005</v>
      </c>
      <c r="G5" s="3">
        <f t="shared" si="1"/>
        <v>9186.8940000000002</v>
      </c>
      <c r="H5" s="3">
        <f t="shared" si="1"/>
        <v>12249.192000000001</v>
      </c>
      <c r="I5" s="3">
        <f t="shared" si="1"/>
        <v>15311.490000000002</v>
      </c>
      <c r="J5" s="3">
        <f t="shared" si="1"/>
        <v>18373.788</v>
      </c>
      <c r="K5" s="3">
        <f t="shared" si="1"/>
        <v>24498.384000000002</v>
      </c>
      <c r="L5" s="3">
        <f t="shared" si="1"/>
        <v>30622.980000000003</v>
      </c>
      <c r="M5" s="3">
        <f t="shared" si="1"/>
        <v>36747.576000000001</v>
      </c>
      <c r="N5" s="3">
        <f t="shared" si="1"/>
        <v>42872.172000000006</v>
      </c>
      <c r="O5" s="3">
        <f t="shared" si="1"/>
        <v>48996.768000000004</v>
      </c>
      <c r="P5" s="3">
        <f t="shared" si="1"/>
        <v>55121.364000000001</v>
      </c>
      <c r="Q5" s="3">
        <f t="shared" si="1"/>
        <v>61245.960000000006</v>
      </c>
      <c r="R5" s="3">
        <f t="shared" si="1"/>
        <v>61245.960000000006</v>
      </c>
      <c r="S5" s="3">
        <f t="shared" si="1"/>
        <v>61245.960000000006</v>
      </c>
      <c r="T5" s="3">
        <f t="shared" si="1"/>
        <v>61245.960000000006</v>
      </c>
      <c r="U5" s="3">
        <f t="shared" si="1"/>
        <v>61245.960000000006</v>
      </c>
      <c r="V5" s="3">
        <f t="shared" si="1"/>
        <v>61245.960000000006</v>
      </c>
      <c r="W5" s="3">
        <f t="shared" si="1"/>
        <v>61245.960000000006</v>
      </c>
      <c r="X5" s="3">
        <f t="shared" si="1"/>
        <v>61245.960000000006</v>
      </c>
      <c r="Y5" s="3">
        <f t="shared" si="1"/>
        <v>61245.960000000006</v>
      </c>
      <c r="Z5" s="3">
        <f t="shared" si="1"/>
        <v>61245.960000000006</v>
      </c>
      <c r="AA5" s="3">
        <f t="shared" si="1"/>
        <v>61245.960000000006</v>
      </c>
      <c r="AB5" s="3">
        <f t="shared" si="1"/>
        <v>61245.960000000006</v>
      </c>
    </row>
    <row r="7" spans="1:28">
      <c r="A7" t="s">
        <v>130</v>
      </c>
      <c r="E7" s="7">
        <f t="shared" ref="E7:AB7" si="2">E3*Cost_2</f>
        <v>2202.5860000000002</v>
      </c>
      <c r="F7" s="7">
        <f t="shared" si="2"/>
        <v>4405.1720000000005</v>
      </c>
      <c r="G7" s="7">
        <f t="shared" si="2"/>
        <v>6607.7580000000007</v>
      </c>
      <c r="H7" s="7">
        <f t="shared" si="2"/>
        <v>8810.344000000001</v>
      </c>
      <c r="I7" s="7">
        <f t="shared" si="2"/>
        <v>11012.93</v>
      </c>
      <c r="J7" s="7">
        <f t="shared" si="2"/>
        <v>13215.516000000001</v>
      </c>
      <c r="K7" s="7">
        <f t="shared" si="2"/>
        <v>17620.688000000002</v>
      </c>
      <c r="L7" s="7">
        <f t="shared" si="2"/>
        <v>22025.86</v>
      </c>
      <c r="M7" s="7">
        <f t="shared" si="2"/>
        <v>26431.032000000003</v>
      </c>
      <c r="N7" s="7">
        <f t="shared" si="2"/>
        <v>30836.204000000005</v>
      </c>
      <c r="O7" s="7">
        <f t="shared" si="2"/>
        <v>35241.376000000004</v>
      </c>
      <c r="P7" s="7">
        <f t="shared" si="2"/>
        <v>39646.548000000003</v>
      </c>
      <c r="Q7" s="7">
        <f t="shared" si="2"/>
        <v>44051.72</v>
      </c>
      <c r="R7" s="7">
        <f t="shared" si="2"/>
        <v>44051.72</v>
      </c>
      <c r="S7" s="7">
        <f t="shared" si="2"/>
        <v>44051.72</v>
      </c>
      <c r="T7" s="7">
        <f t="shared" si="2"/>
        <v>44051.72</v>
      </c>
      <c r="U7" s="7">
        <f t="shared" si="2"/>
        <v>44051.72</v>
      </c>
      <c r="V7" s="7">
        <f t="shared" si="2"/>
        <v>44051.72</v>
      </c>
      <c r="W7" s="7">
        <f t="shared" si="2"/>
        <v>44051.72</v>
      </c>
      <c r="X7" s="7">
        <f t="shared" si="2"/>
        <v>44051.72</v>
      </c>
      <c r="Y7" s="7">
        <f t="shared" si="2"/>
        <v>44051.72</v>
      </c>
      <c r="Z7" s="7">
        <f t="shared" si="2"/>
        <v>44051.72</v>
      </c>
      <c r="AA7" s="7">
        <f t="shared" si="2"/>
        <v>44051.72</v>
      </c>
      <c r="AB7" s="7">
        <f t="shared" si="2"/>
        <v>44051.72</v>
      </c>
    </row>
    <row r="8" spans="1:28">
      <c r="A8" s="34" t="s">
        <v>131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>Annual_Cost_Yr1_T2</f>
        <v>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>
        <f>Annual_Cost_Yr2_T2</f>
        <v>0</v>
      </c>
    </row>
    <row r="10" spans="1:28">
      <c r="A10" s="14" t="s">
        <v>106</v>
      </c>
      <c r="D10" s="2">
        <f>-Startup_Investment2</f>
        <v>-23057</v>
      </c>
      <c r="E10" s="7">
        <f>E5-SUM(E7:E8)</f>
        <v>859.71199999999999</v>
      </c>
      <c r="F10" s="7">
        <f t="shared" ref="F10:AB10" si="3">F5-SUM(F7:F8)</f>
        <v>1719.424</v>
      </c>
      <c r="G10" s="7">
        <f t="shared" si="3"/>
        <v>2579.1359999999995</v>
      </c>
      <c r="H10" s="7">
        <f t="shared" si="3"/>
        <v>3438.848</v>
      </c>
      <c r="I10" s="7">
        <f t="shared" si="3"/>
        <v>4298.5600000000013</v>
      </c>
      <c r="J10" s="7">
        <f t="shared" si="3"/>
        <v>5158.271999999999</v>
      </c>
      <c r="K10" s="7">
        <f t="shared" si="3"/>
        <v>6877.6959999999999</v>
      </c>
      <c r="L10" s="7">
        <f t="shared" si="3"/>
        <v>8597.1200000000026</v>
      </c>
      <c r="M10" s="7">
        <f t="shared" si="3"/>
        <v>10316.543999999998</v>
      </c>
      <c r="N10" s="7">
        <f t="shared" si="3"/>
        <v>12035.968000000001</v>
      </c>
      <c r="O10" s="7">
        <f t="shared" si="3"/>
        <v>13755.392</v>
      </c>
      <c r="P10" s="7">
        <f t="shared" si="3"/>
        <v>15474.815999999999</v>
      </c>
      <c r="Q10" s="7">
        <f t="shared" si="3"/>
        <v>17194.240000000005</v>
      </c>
      <c r="R10" s="7">
        <f t="shared" si="3"/>
        <v>17194.240000000005</v>
      </c>
      <c r="S10" s="7">
        <f t="shared" si="3"/>
        <v>17194.240000000005</v>
      </c>
      <c r="T10" s="7">
        <f t="shared" si="3"/>
        <v>17194.240000000005</v>
      </c>
      <c r="U10" s="7">
        <f t="shared" si="3"/>
        <v>17194.240000000005</v>
      </c>
      <c r="V10" s="7">
        <f t="shared" si="3"/>
        <v>17194.240000000005</v>
      </c>
      <c r="W10" s="7">
        <f t="shared" si="3"/>
        <v>17194.240000000005</v>
      </c>
      <c r="X10" s="7">
        <f t="shared" si="3"/>
        <v>17194.240000000005</v>
      </c>
      <c r="Y10" s="7">
        <f t="shared" si="3"/>
        <v>17194.240000000005</v>
      </c>
      <c r="Z10" s="7">
        <f t="shared" si="3"/>
        <v>17194.240000000005</v>
      </c>
      <c r="AA10" s="7">
        <f t="shared" si="3"/>
        <v>17194.240000000005</v>
      </c>
      <c r="AB10" s="7">
        <f t="shared" si="3"/>
        <v>17194.240000000005</v>
      </c>
    </row>
    <row r="12" spans="1:28">
      <c r="A12" s="14" t="s">
        <v>105</v>
      </c>
      <c r="D12" s="3">
        <f>D10</f>
        <v>-23057</v>
      </c>
      <c r="E12" s="3">
        <f t="shared" ref="E12:AB12" si="4">D12+E10</f>
        <v>-22197.288</v>
      </c>
      <c r="F12" s="3">
        <f t="shared" si="4"/>
        <v>-20477.864000000001</v>
      </c>
      <c r="G12" s="3">
        <f t="shared" si="4"/>
        <v>-17898.728000000003</v>
      </c>
      <c r="H12" s="3">
        <f t="shared" si="4"/>
        <v>-14459.880000000003</v>
      </c>
      <c r="I12" s="3">
        <f t="shared" si="4"/>
        <v>-10161.320000000002</v>
      </c>
      <c r="J12" s="3">
        <f t="shared" si="4"/>
        <v>-5003.0480000000025</v>
      </c>
      <c r="K12" s="3">
        <f t="shared" si="4"/>
        <v>1874.6479999999974</v>
      </c>
      <c r="L12" s="3">
        <f t="shared" si="4"/>
        <v>10471.768</v>
      </c>
      <c r="M12" s="3">
        <f t="shared" si="4"/>
        <v>20788.311999999998</v>
      </c>
      <c r="N12" s="3">
        <f t="shared" si="4"/>
        <v>32824.28</v>
      </c>
      <c r="O12" s="3">
        <f t="shared" si="4"/>
        <v>46579.671999999999</v>
      </c>
      <c r="P12" s="3">
        <f t="shared" si="4"/>
        <v>62054.487999999998</v>
      </c>
      <c r="Q12" s="3">
        <f t="shared" si="4"/>
        <v>79248.728000000003</v>
      </c>
      <c r="R12" s="3">
        <f t="shared" si="4"/>
        <v>96442.968000000008</v>
      </c>
      <c r="S12" s="3">
        <f t="shared" si="4"/>
        <v>113637.20800000001</v>
      </c>
      <c r="T12" s="3">
        <f t="shared" si="4"/>
        <v>130831.44800000002</v>
      </c>
      <c r="U12" s="3">
        <f t="shared" si="4"/>
        <v>148025.68800000002</v>
      </c>
      <c r="V12" s="3">
        <f t="shared" si="4"/>
        <v>165219.92800000001</v>
      </c>
      <c r="W12" s="3">
        <f t="shared" si="4"/>
        <v>182414.16800000001</v>
      </c>
      <c r="X12" s="3">
        <f t="shared" si="4"/>
        <v>199608.408</v>
      </c>
      <c r="Y12" s="3">
        <f t="shared" si="4"/>
        <v>216802.64799999999</v>
      </c>
      <c r="Z12" s="3">
        <f t="shared" si="4"/>
        <v>233996.88799999998</v>
      </c>
      <c r="AA12" s="3">
        <f t="shared" si="4"/>
        <v>251191.12799999997</v>
      </c>
      <c r="AB12" s="3">
        <f t="shared" si="4"/>
        <v>268385.36799999996</v>
      </c>
    </row>
    <row r="14" spans="1:28">
      <c r="A14" s="14" t="s">
        <v>79</v>
      </c>
    </row>
    <row r="15" spans="1:28">
      <c r="B15" t="s">
        <v>80</v>
      </c>
      <c r="D15" s="15" t="s">
        <v>63</v>
      </c>
      <c r="E15" s="15" t="s">
        <v>81</v>
      </c>
      <c r="F15" s="15" t="s">
        <v>82</v>
      </c>
      <c r="G15" s="15" t="s">
        <v>83</v>
      </c>
      <c r="H15" s="15" t="s">
        <v>84</v>
      </c>
      <c r="I15" s="15" t="s">
        <v>85</v>
      </c>
      <c r="J15" s="15" t="s">
        <v>86</v>
      </c>
      <c r="K15" s="15" t="s">
        <v>87</v>
      </c>
      <c r="L15" s="15" t="s">
        <v>88</v>
      </c>
      <c r="M15" s="15" t="s">
        <v>89</v>
      </c>
      <c r="N15" s="15" t="s">
        <v>90</v>
      </c>
      <c r="O15" s="15" t="s">
        <v>91</v>
      </c>
      <c r="P15" s="15" t="s">
        <v>92</v>
      </c>
      <c r="Q15" s="15" t="s">
        <v>93</v>
      </c>
      <c r="R15" s="15" t="s">
        <v>94</v>
      </c>
      <c r="S15" s="15" t="s">
        <v>95</v>
      </c>
      <c r="T15" s="15" t="s">
        <v>96</v>
      </c>
      <c r="U15" s="15" t="s">
        <v>97</v>
      </c>
      <c r="V15" s="15" t="s">
        <v>98</v>
      </c>
      <c r="W15" s="15" t="s">
        <v>99</v>
      </c>
      <c r="X15" s="15" t="s">
        <v>100</v>
      </c>
      <c r="Y15" s="15" t="s">
        <v>101</v>
      </c>
      <c r="Z15" s="15" t="s">
        <v>102</v>
      </c>
      <c r="AA15" s="15" t="s">
        <v>103</v>
      </c>
      <c r="AB15" s="15" t="s">
        <v>104</v>
      </c>
    </row>
    <row r="16" spans="1:28">
      <c r="B16" t="s">
        <v>47</v>
      </c>
      <c r="D16" s="1">
        <f>D5</f>
        <v>0</v>
      </c>
      <c r="E16" s="1">
        <f t="shared" ref="E16:AB16" si="5">E5</f>
        <v>3062.2980000000002</v>
      </c>
      <c r="F16" s="1">
        <f t="shared" si="5"/>
        <v>6124.5960000000005</v>
      </c>
      <c r="G16" s="1">
        <f t="shared" si="5"/>
        <v>9186.8940000000002</v>
      </c>
      <c r="H16" s="1">
        <f t="shared" si="5"/>
        <v>12249.192000000001</v>
      </c>
      <c r="I16" s="1">
        <f t="shared" si="5"/>
        <v>15311.490000000002</v>
      </c>
      <c r="J16" s="1">
        <f t="shared" si="5"/>
        <v>18373.788</v>
      </c>
      <c r="K16" s="1">
        <f t="shared" si="5"/>
        <v>24498.384000000002</v>
      </c>
      <c r="L16" s="1">
        <f t="shared" si="5"/>
        <v>30622.980000000003</v>
      </c>
      <c r="M16" s="1">
        <f t="shared" si="5"/>
        <v>36747.576000000001</v>
      </c>
      <c r="N16" s="1">
        <f t="shared" si="5"/>
        <v>42872.172000000006</v>
      </c>
      <c r="O16" s="1">
        <f t="shared" si="5"/>
        <v>48996.768000000004</v>
      </c>
      <c r="P16" s="1">
        <f t="shared" si="5"/>
        <v>55121.364000000001</v>
      </c>
      <c r="Q16" s="1">
        <f t="shared" si="5"/>
        <v>61245.960000000006</v>
      </c>
      <c r="R16" s="1">
        <f t="shared" si="5"/>
        <v>61245.960000000006</v>
      </c>
      <c r="S16" s="1">
        <f t="shared" si="5"/>
        <v>61245.960000000006</v>
      </c>
      <c r="T16" s="1">
        <f t="shared" si="5"/>
        <v>61245.960000000006</v>
      </c>
      <c r="U16" s="1">
        <f t="shared" si="5"/>
        <v>61245.960000000006</v>
      </c>
      <c r="V16" s="1">
        <f t="shared" si="5"/>
        <v>61245.960000000006</v>
      </c>
      <c r="W16" s="1">
        <f t="shared" si="5"/>
        <v>61245.960000000006</v>
      </c>
      <c r="X16" s="1">
        <f t="shared" si="5"/>
        <v>61245.960000000006</v>
      </c>
      <c r="Y16" s="1">
        <f t="shared" si="5"/>
        <v>61245.960000000006</v>
      </c>
      <c r="Z16" s="1">
        <f t="shared" si="5"/>
        <v>61245.960000000006</v>
      </c>
      <c r="AA16" s="1">
        <f t="shared" si="5"/>
        <v>61245.960000000006</v>
      </c>
      <c r="AB16" s="1">
        <f t="shared" si="5"/>
        <v>61245.960000000006</v>
      </c>
    </row>
    <row r="17" spans="2:28">
      <c r="B17" t="s">
        <v>48</v>
      </c>
      <c r="D17" s="1">
        <f>D7</f>
        <v>0</v>
      </c>
      <c r="E17" s="1">
        <f t="shared" ref="E17:AB17" si="6">E7</f>
        <v>2202.5860000000002</v>
      </c>
      <c r="F17" s="1">
        <f t="shared" si="6"/>
        <v>4405.1720000000005</v>
      </c>
      <c r="G17" s="1">
        <f t="shared" si="6"/>
        <v>6607.7580000000007</v>
      </c>
      <c r="H17" s="1">
        <f t="shared" si="6"/>
        <v>8810.344000000001</v>
      </c>
      <c r="I17" s="1">
        <f t="shared" si="6"/>
        <v>11012.93</v>
      </c>
      <c r="J17" s="1">
        <f t="shared" si="6"/>
        <v>13215.516000000001</v>
      </c>
      <c r="K17" s="1">
        <f t="shared" si="6"/>
        <v>17620.688000000002</v>
      </c>
      <c r="L17" s="1">
        <f t="shared" si="6"/>
        <v>22025.86</v>
      </c>
      <c r="M17" s="1">
        <f t="shared" si="6"/>
        <v>26431.032000000003</v>
      </c>
      <c r="N17" s="1">
        <f t="shared" si="6"/>
        <v>30836.204000000005</v>
      </c>
      <c r="O17" s="1">
        <f t="shared" si="6"/>
        <v>35241.376000000004</v>
      </c>
      <c r="P17" s="1">
        <f t="shared" si="6"/>
        <v>39646.548000000003</v>
      </c>
      <c r="Q17" s="1">
        <f t="shared" si="6"/>
        <v>44051.72</v>
      </c>
      <c r="R17" s="1">
        <f t="shared" si="6"/>
        <v>44051.72</v>
      </c>
      <c r="S17" s="1">
        <f t="shared" si="6"/>
        <v>44051.72</v>
      </c>
      <c r="T17" s="1">
        <f t="shared" si="6"/>
        <v>44051.72</v>
      </c>
      <c r="U17" s="1">
        <f t="shared" si="6"/>
        <v>44051.72</v>
      </c>
      <c r="V17" s="1">
        <f t="shared" si="6"/>
        <v>44051.72</v>
      </c>
      <c r="W17" s="1">
        <f t="shared" si="6"/>
        <v>44051.72</v>
      </c>
      <c r="X17" s="1">
        <f t="shared" si="6"/>
        <v>44051.72</v>
      </c>
      <c r="Y17" s="1">
        <f t="shared" si="6"/>
        <v>44051.72</v>
      </c>
      <c r="Z17" s="1">
        <f t="shared" si="6"/>
        <v>44051.72</v>
      </c>
      <c r="AA17" s="1">
        <f t="shared" si="6"/>
        <v>44051.72</v>
      </c>
      <c r="AB17" s="1">
        <f t="shared" si="6"/>
        <v>44051.72</v>
      </c>
    </row>
    <row r="18" spans="2:28">
      <c r="B18" t="s">
        <v>41</v>
      </c>
      <c r="D18" s="1">
        <f>D12</f>
        <v>-23057</v>
      </c>
      <c r="E18" s="1">
        <f t="shared" ref="E18:AB18" si="7">E12</f>
        <v>-22197.288</v>
      </c>
      <c r="F18" s="1">
        <f t="shared" si="7"/>
        <v>-20477.864000000001</v>
      </c>
      <c r="G18" s="1">
        <f t="shared" si="7"/>
        <v>-17898.728000000003</v>
      </c>
      <c r="H18" s="1">
        <f t="shared" si="7"/>
        <v>-14459.880000000003</v>
      </c>
      <c r="I18" s="1">
        <f t="shared" si="7"/>
        <v>-10161.320000000002</v>
      </c>
      <c r="J18" s="1">
        <f t="shared" si="7"/>
        <v>-5003.0480000000025</v>
      </c>
      <c r="K18" s="1">
        <f t="shared" si="7"/>
        <v>1874.6479999999974</v>
      </c>
      <c r="L18" s="1">
        <f t="shared" si="7"/>
        <v>10471.768</v>
      </c>
      <c r="M18" s="1">
        <f t="shared" si="7"/>
        <v>20788.311999999998</v>
      </c>
      <c r="N18" s="1">
        <f t="shared" si="7"/>
        <v>32824.28</v>
      </c>
      <c r="O18" s="1">
        <f t="shared" si="7"/>
        <v>46579.671999999999</v>
      </c>
      <c r="P18" s="1">
        <f t="shared" si="7"/>
        <v>62054.487999999998</v>
      </c>
      <c r="Q18" s="1">
        <f t="shared" si="7"/>
        <v>79248.728000000003</v>
      </c>
      <c r="R18" s="1">
        <f t="shared" si="7"/>
        <v>96442.968000000008</v>
      </c>
      <c r="S18" s="1">
        <f t="shared" si="7"/>
        <v>113637.20800000001</v>
      </c>
      <c r="T18" s="1">
        <f t="shared" si="7"/>
        <v>130831.44800000002</v>
      </c>
      <c r="U18" s="1">
        <f t="shared" si="7"/>
        <v>148025.68800000002</v>
      </c>
      <c r="V18" s="1">
        <f t="shared" si="7"/>
        <v>165219.92800000001</v>
      </c>
      <c r="W18" s="1">
        <f t="shared" si="7"/>
        <v>182414.16800000001</v>
      </c>
      <c r="X18" s="1">
        <f t="shared" si="7"/>
        <v>199608.408</v>
      </c>
      <c r="Y18" s="1">
        <f t="shared" si="7"/>
        <v>216802.64799999999</v>
      </c>
      <c r="Z18" s="1">
        <f t="shared" si="7"/>
        <v>233996.88799999998</v>
      </c>
      <c r="AA18" s="1">
        <f t="shared" si="7"/>
        <v>251191.12799999997</v>
      </c>
      <c r="AB18" s="1">
        <f t="shared" si="7"/>
        <v>268385.36799999996</v>
      </c>
    </row>
    <row r="19" spans="2:28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>
      <c r="C20" s="14" t="s">
        <v>64</v>
      </c>
      <c r="D20" s="4" t="str">
        <f>IF(ISERROR(INDEX($15:$15,MATCH(1,INDEX(--($D18:$AB18&gt;0),0),0)+3)),"",INDEX($15:$15,MATCH(1,INDEX(--($D18:$AB18&gt;0),0),0)+3))</f>
        <v>7</v>
      </c>
    </row>
    <row r="22" spans="2:28">
      <c r="C22" s="17" t="s">
        <v>60</v>
      </c>
    </row>
  </sheetData>
  <pageMargins left="0.25" right="0.25" top="0.75" bottom="0.75" header="0.3" footer="0.3"/>
  <pageSetup paperSize="5" scale="52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workbookViewId="0"/>
  </sheetViews>
  <sheetFormatPr defaultRowHeight="15"/>
  <cols>
    <col min="1" max="2" width="1.7109375" customWidth="1"/>
    <col min="3" max="3" width="24.7109375" customWidth="1"/>
    <col min="4" max="16" width="12.28515625" customWidth="1"/>
    <col min="17" max="28" width="11.7109375" customWidth="1"/>
  </cols>
  <sheetData>
    <row r="1" spans="1:28">
      <c r="A1" s="14" t="s">
        <v>157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">
      <c r="D2" s="16" t="s">
        <v>76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pans="1:28">
      <c r="A3" s="14" t="s">
        <v>42</v>
      </c>
      <c r="E3" s="11">
        <v>1</v>
      </c>
      <c r="F3" s="11">
        <v>2</v>
      </c>
      <c r="G3" s="11">
        <v>3</v>
      </c>
      <c r="H3" s="11">
        <v>4</v>
      </c>
      <c r="I3" s="11">
        <v>5</v>
      </c>
      <c r="J3" s="11">
        <v>6</v>
      </c>
      <c r="K3" s="11">
        <v>8</v>
      </c>
      <c r="L3" s="11">
        <v>10</v>
      </c>
      <c r="M3" s="11">
        <v>12</v>
      </c>
      <c r="N3" s="11">
        <v>14</v>
      </c>
      <c r="O3" s="11">
        <v>16</v>
      </c>
      <c r="P3" s="11">
        <v>18</v>
      </c>
      <c r="Q3" s="11">
        <v>20</v>
      </c>
      <c r="R3" s="11">
        <f t="shared" ref="R3:AB3" si="0">Q3</f>
        <v>20</v>
      </c>
      <c r="S3" s="11">
        <f t="shared" si="0"/>
        <v>20</v>
      </c>
      <c r="T3" s="11">
        <f t="shared" si="0"/>
        <v>20</v>
      </c>
      <c r="U3" s="11">
        <f t="shared" si="0"/>
        <v>20</v>
      </c>
      <c r="V3" s="11">
        <f t="shared" si="0"/>
        <v>20</v>
      </c>
      <c r="W3" s="11">
        <f t="shared" si="0"/>
        <v>20</v>
      </c>
      <c r="X3" s="11">
        <f t="shared" si="0"/>
        <v>20</v>
      </c>
      <c r="Y3" s="11">
        <f t="shared" si="0"/>
        <v>20</v>
      </c>
      <c r="Z3" s="11">
        <f t="shared" si="0"/>
        <v>20</v>
      </c>
      <c r="AA3" s="11">
        <f t="shared" si="0"/>
        <v>20</v>
      </c>
      <c r="AB3" s="11">
        <f t="shared" si="0"/>
        <v>20</v>
      </c>
    </row>
    <row r="5" spans="1:28">
      <c r="A5" t="s">
        <v>30</v>
      </c>
      <c r="E5" s="3">
        <f t="shared" ref="E5:AB5" si="1">E3*Price_3</f>
        <v>273</v>
      </c>
      <c r="F5" s="3">
        <f t="shared" si="1"/>
        <v>546</v>
      </c>
      <c r="G5" s="3">
        <f t="shared" si="1"/>
        <v>819</v>
      </c>
      <c r="H5" s="3">
        <f t="shared" si="1"/>
        <v>1092</v>
      </c>
      <c r="I5" s="3">
        <f t="shared" si="1"/>
        <v>1365</v>
      </c>
      <c r="J5" s="3">
        <f t="shared" si="1"/>
        <v>1638</v>
      </c>
      <c r="K5" s="3">
        <f t="shared" si="1"/>
        <v>2184</v>
      </c>
      <c r="L5" s="3">
        <f t="shared" si="1"/>
        <v>2730</v>
      </c>
      <c r="M5" s="3">
        <f t="shared" si="1"/>
        <v>3276</v>
      </c>
      <c r="N5" s="3">
        <f t="shared" si="1"/>
        <v>3822</v>
      </c>
      <c r="O5" s="3">
        <f t="shared" si="1"/>
        <v>4368</v>
      </c>
      <c r="P5" s="3">
        <f t="shared" si="1"/>
        <v>4914</v>
      </c>
      <c r="Q5" s="3">
        <f t="shared" si="1"/>
        <v>5460</v>
      </c>
      <c r="R5" s="3">
        <f t="shared" si="1"/>
        <v>5460</v>
      </c>
      <c r="S5" s="3">
        <f t="shared" si="1"/>
        <v>5460</v>
      </c>
      <c r="T5" s="3">
        <f t="shared" si="1"/>
        <v>5460</v>
      </c>
      <c r="U5" s="3">
        <f t="shared" si="1"/>
        <v>5460</v>
      </c>
      <c r="V5" s="3">
        <f t="shared" si="1"/>
        <v>5460</v>
      </c>
      <c r="W5" s="3">
        <f t="shared" si="1"/>
        <v>5460</v>
      </c>
      <c r="X5" s="3">
        <f t="shared" si="1"/>
        <v>5460</v>
      </c>
      <c r="Y5" s="3">
        <f t="shared" si="1"/>
        <v>5460</v>
      </c>
      <c r="Z5" s="3">
        <f t="shared" si="1"/>
        <v>5460</v>
      </c>
      <c r="AA5" s="3">
        <f t="shared" si="1"/>
        <v>5460</v>
      </c>
      <c r="AB5" s="3">
        <f t="shared" si="1"/>
        <v>5460</v>
      </c>
    </row>
    <row r="7" spans="1:28">
      <c r="A7" t="s">
        <v>130</v>
      </c>
      <c r="E7" s="7">
        <f t="shared" ref="E7:AB7" si="2">E3*Cost_3</f>
        <v>132.12</v>
      </c>
      <c r="F7" s="7">
        <f t="shared" si="2"/>
        <v>264.24</v>
      </c>
      <c r="G7" s="7">
        <f t="shared" si="2"/>
        <v>396.36</v>
      </c>
      <c r="H7" s="7">
        <f t="shared" si="2"/>
        <v>528.48</v>
      </c>
      <c r="I7" s="7">
        <f t="shared" si="2"/>
        <v>660.6</v>
      </c>
      <c r="J7" s="7">
        <f t="shared" si="2"/>
        <v>792.72</v>
      </c>
      <c r="K7" s="7">
        <f t="shared" si="2"/>
        <v>1056.96</v>
      </c>
      <c r="L7" s="7">
        <f t="shared" si="2"/>
        <v>1321.2</v>
      </c>
      <c r="M7" s="7">
        <f t="shared" si="2"/>
        <v>1585.44</v>
      </c>
      <c r="N7" s="7">
        <f t="shared" si="2"/>
        <v>1849.68</v>
      </c>
      <c r="O7" s="7">
        <f t="shared" si="2"/>
        <v>2113.92</v>
      </c>
      <c r="P7" s="7">
        <f t="shared" si="2"/>
        <v>2378.16</v>
      </c>
      <c r="Q7" s="7">
        <f t="shared" si="2"/>
        <v>2642.4</v>
      </c>
      <c r="R7" s="7">
        <f t="shared" si="2"/>
        <v>2642.4</v>
      </c>
      <c r="S7" s="7">
        <f t="shared" si="2"/>
        <v>2642.4</v>
      </c>
      <c r="T7" s="7">
        <f t="shared" si="2"/>
        <v>2642.4</v>
      </c>
      <c r="U7" s="7">
        <f t="shared" si="2"/>
        <v>2642.4</v>
      </c>
      <c r="V7" s="7">
        <f t="shared" si="2"/>
        <v>2642.4</v>
      </c>
      <c r="W7" s="7">
        <f t="shared" si="2"/>
        <v>2642.4</v>
      </c>
      <c r="X7" s="7">
        <f t="shared" si="2"/>
        <v>2642.4</v>
      </c>
      <c r="Y7" s="7">
        <f t="shared" si="2"/>
        <v>2642.4</v>
      </c>
      <c r="Z7" s="7">
        <f t="shared" si="2"/>
        <v>2642.4</v>
      </c>
      <c r="AA7" s="7">
        <f t="shared" si="2"/>
        <v>2642.4</v>
      </c>
      <c r="AB7" s="7">
        <f t="shared" si="2"/>
        <v>2642.4</v>
      </c>
    </row>
    <row r="8" spans="1:28">
      <c r="A8" s="34" t="s">
        <v>131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>Annual_Cost_Yr1_T3</f>
        <v>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>
        <f>Annual_Cost_Yr2_T3</f>
        <v>0</v>
      </c>
    </row>
    <row r="10" spans="1:28">
      <c r="A10" s="14" t="s">
        <v>106</v>
      </c>
      <c r="D10" s="2">
        <f>-Startup_Investment3</f>
        <v>-2826.2</v>
      </c>
      <c r="E10" s="7">
        <f>E5-SUM(E7:E8)</f>
        <v>140.88</v>
      </c>
      <c r="F10" s="7">
        <f t="shared" ref="F10:AB10" si="3">F5-SUM(F7:F8)</f>
        <v>281.76</v>
      </c>
      <c r="G10" s="7">
        <f t="shared" si="3"/>
        <v>422.64</v>
      </c>
      <c r="H10" s="7">
        <f t="shared" si="3"/>
        <v>563.52</v>
      </c>
      <c r="I10" s="7">
        <f t="shared" si="3"/>
        <v>704.4</v>
      </c>
      <c r="J10" s="7">
        <f t="shared" si="3"/>
        <v>845.28</v>
      </c>
      <c r="K10" s="7">
        <f t="shared" si="3"/>
        <v>1127.04</v>
      </c>
      <c r="L10" s="7">
        <f t="shared" si="3"/>
        <v>1408.8</v>
      </c>
      <c r="M10" s="7">
        <f t="shared" si="3"/>
        <v>1690.56</v>
      </c>
      <c r="N10" s="7">
        <f t="shared" si="3"/>
        <v>1972.32</v>
      </c>
      <c r="O10" s="7">
        <f t="shared" si="3"/>
        <v>2254.08</v>
      </c>
      <c r="P10" s="7">
        <f t="shared" si="3"/>
        <v>2535.84</v>
      </c>
      <c r="Q10" s="7">
        <f t="shared" si="3"/>
        <v>2817.6</v>
      </c>
      <c r="R10" s="7">
        <f t="shared" si="3"/>
        <v>2817.6</v>
      </c>
      <c r="S10" s="7">
        <f t="shared" si="3"/>
        <v>2817.6</v>
      </c>
      <c r="T10" s="7">
        <f t="shared" si="3"/>
        <v>2817.6</v>
      </c>
      <c r="U10" s="7">
        <f t="shared" si="3"/>
        <v>2817.6</v>
      </c>
      <c r="V10" s="7">
        <f t="shared" si="3"/>
        <v>2817.6</v>
      </c>
      <c r="W10" s="7">
        <f t="shared" si="3"/>
        <v>2817.6</v>
      </c>
      <c r="X10" s="7">
        <f t="shared" si="3"/>
        <v>2817.6</v>
      </c>
      <c r="Y10" s="7">
        <f t="shared" si="3"/>
        <v>2817.6</v>
      </c>
      <c r="Z10" s="7">
        <f t="shared" si="3"/>
        <v>2817.6</v>
      </c>
      <c r="AA10" s="7">
        <f t="shared" si="3"/>
        <v>2817.6</v>
      </c>
      <c r="AB10" s="7">
        <f t="shared" si="3"/>
        <v>2817.6</v>
      </c>
    </row>
    <row r="12" spans="1:28">
      <c r="A12" s="14" t="s">
        <v>105</v>
      </c>
      <c r="D12" s="3">
        <f>D10</f>
        <v>-2826.2</v>
      </c>
      <c r="E12" s="3">
        <f t="shared" ref="E12:AB12" si="4">D12+E10</f>
        <v>-2685.3199999999997</v>
      </c>
      <c r="F12" s="3">
        <f t="shared" si="4"/>
        <v>-2403.5599999999995</v>
      </c>
      <c r="G12" s="3">
        <f t="shared" si="4"/>
        <v>-1980.9199999999996</v>
      </c>
      <c r="H12" s="3">
        <f t="shared" si="4"/>
        <v>-1417.3999999999996</v>
      </c>
      <c r="I12" s="3">
        <f t="shared" si="4"/>
        <v>-712.99999999999966</v>
      </c>
      <c r="J12" s="3">
        <f t="shared" si="4"/>
        <v>132.28000000000031</v>
      </c>
      <c r="K12" s="3">
        <f t="shared" si="4"/>
        <v>1259.3200000000002</v>
      </c>
      <c r="L12" s="3">
        <f t="shared" si="4"/>
        <v>2668.12</v>
      </c>
      <c r="M12" s="3">
        <f t="shared" si="4"/>
        <v>4358.68</v>
      </c>
      <c r="N12" s="3">
        <f t="shared" si="4"/>
        <v>6331</v>
      </c>
      <c r="O12" s="3">
        <f t="shared" si="4"/>
        <v>8585.08</v>
      </c>
      <c r="P12" s="3">
        <f t="shared" si="4"/>
        <v>11120.92</v>
      </c>
      <c r="Q12" s="3">
        <f t="shared" si="4"/>
        <v>13938.52</v>
      </c>
      <c r="R12" s="3">
        <f t="shared" si="4"/>
        <v>16756.12</v>
      </c>
      <c r="S12" s="3">
        <f t="shared" si="4"/>
        <v>19573.719999999998</v>
      </c>
      <c r="T12" s="3">
        <f t="shared" si="4"/>
        <v>22391.319999999996</v>
      </c>
      <c r="U12" s="3">
        <f t="shared" si="4"/>
        <v>25208.919999999995</v>
      </c>
      <c r="V12" s="3">
        <f t="shared" si="4"/>
        <v>28026.519999999993</v>
      </c>
      <c r="W12" s="3">
        <f t="shared" si="4"/>
        <v>30844.119999999992</v>
      </c>
      <c r="X12" s="3">
        <f t="shared" si="4"/>
        <v>33661.719999999994</v>
      </c>
      <c r="Y12" s="3">
        <f t="shared" si="4"/>
        <v>36479.319999999992</v>
      </c>
      <c r="Z12" s="3">
        <f t="shared" si="4"/>
        <v>39296.919999999991</v>
      </c>
      <c r="AA12" s="3">
        <f t="shared" si="4"/>
        <v>42114.51999999999</v>
      </c>
      <c r="AB12" s="3">
        <f t="shared" si="4"/>
        <v>44932.119999999988</v>
      </c>
    </row>
    <row r="14" spans="1:28">
      <c r="A14" s="14" t="s">
        <v>79</v>
      </c>
    </row>
    <row r="15" spans="1:28">
      <c r="B15" t="s">
        <v>80</v>
      </c>
      <c r="D15" s="15" t="s">
        <v>63</v>
      </c>
      <c r="E15" s="15" t="s">
        <v>81</v>
      </c>
      <c r="F15" s="15" t="s">
        <v>82</v>
      </c>
      <c r="G15" s="15" t="s">
        <v>83</v>
      </c>
      <c r="H15" s="15" t="s">
        <v>84</v>
      </c>
      <c r="I15" s="15" t="s">
        <v>85</v>
      </c>
      <c r="J15" s="15" t="s">
        <v>86</v>
      </c>
      <c r="K15" s="15" t="s">
        <v>87</v>
      </c>
      <c r="L15" s="15" t="s">
        <v>88</v>
      </c>
      <c r="M15" s="15" t="s">
        <v>89</v>
      </c>
      <c r="N15" s="15" t="s">
        <v>90</v>
      </c>
      <c r="O15" s="15" t="s">
        <v>91</v>
      </c>
      <c r="P15" s="15" t="s">
        <v>92</v>
      </c>
      <c r="Q15" s="15" t="s">
        <v>93</v>
      </c>
      <c r="R15" s="15" t="s">
        <v>94</v>
      </c>
      <c r="S15" s="15" t="s">
        <v>95</v>
      </c>
      <c r="T15" s="15" t="s">
        <v>96</v>
      </c>
      <c r="U15" s="15" t="s">
        <v>97</v>
      </c>
      <c r="V15" s="15" t="s">
        <v>98</v>
      </c>
      <c r="W15" s="15" t="s">
        <v>99</v>
      </c>
      <c r="X15" s="15" t="s">
        <v>100</v>
      </c>
      <c r="Y15" s="15" t="s">
        <v>101</v>
      </c>
      <c r="Z15" s="15" t="s">
        <v>102</v>
      </c>
      <c r="AA15" s="15" t="s">
        <v>103</v>
      </c>
      <c r="AB15" s="15" t="s">
        <v>104</v>
      </c>
    </row>
    <row r="16" spans="1:28">
      <c r="B16" t="s">
        <v>47</v>
      </c>
      <c r="D16" s="1">
        <f>D5</f>
        <v>0</v>
      </c>
      <c r="E16" s="1">
        <f t="shared" ref="E16:AB16" si="5">E5</f>
        <v>273</v>
      </c>
      <c r="F16" s="1">
        <f t="shared" si="5"/>
        <v>546</v>
      </c>
      <c r="G16" s="1">
        <f t="shared" si="5"/>
        <v>819</v>
      </c>
      <c r="H16" s="1">
        <f t="shared" si="5"/>
        <v>1092</v>
      </c>
      <c r="I16" s="1">
        <f t="shared" si="5"/>
        <v>1365</v>
      </c>
      <c r="J16" s="1">
        <f t="shared" si="5"/>
        <v>1638</v>
      </c>
      <c r="K16" s="1">
        <f t="shared" si="5"/>
        <v>2184</v>
      </c>
      <c r="L16" s="1">
        <f t="shared" si="5"/>
        <v>2730</v>
      </c>
      <c r="M16" s="1">
        <f t="shared" si="5"/>
        <v>3276</v>
      </c>
      <c r="N16" s="1">
        <f t="shared" si="5"/>
        <v>3822</v>
      </c>
      <c r="O16" s="1">
        <f t="shared" si="5"/>
        <v>4368</v>
      </c>
      <c r="P16" s="1">
        <f t="shared" si="5"/>
        <v>4914</v>
      </c>
      <c r="Q16" s="1">
        <f t="shared" si="5"/>
        <v>5460</v>
      </c>
      <c r="R16" s="1">
        <f t="shared" si="5"/>
        <v>5460</v>
      </c>
      <c r="S16" s="1">
        <f t="shared" si="5"/>
        <v>5460</v>
      </c>
      <c r="T16" s="1">
        <f t="shared" si="5"/>
        <v>5460</v>
      </c>
      <c r="U16" s="1">
        <f t="shared" si="5"/>
        <v>5460</v>
      </c>
      <c r="V16" s="1">
        <f t="shared" si="5"/>
        <v>5460</v>
      </c>
      <c r="W16" s="1">
        <f t="shared" si="5"/>
        <v>5460</v>
      </c>
      <c r="X16" s="1">
        <f t="shared" si="5"/>
        <v>5460</v>
      </c>
      <c r="Y16" s="1">
        <f t="shared" si="5"/>
        <v>5460</v>
      </c>
      <c r="Z16" s="1">
        <f t="shared" si="5"/>
        <v>5460</v>
      </c>
      <c r="AA16" s="1">
        <f t="shared" si="5"/>
        <v>5460</v>
      </c>
      <c r="AB16" s="1">
        <f t="shared" si="5"/>
        <v>5460</v>
      </c>
    </row>
    <row r="17" spans="2:28">
      <c r="B17" t="s">
        <v>48</v>
      </c>
      <c r="D17" s="1">
        <f>D7</f>
        <v>0</v>
      </c>
      <c r="E17" s="1">
        <f t="shared" ref="E17:AB17" si="6">E7</f>
        <v>132.12</v>
      </c>
      <c r="F17" s="1">
        <f t="shared" si="6"/>
        <v>264.24</v>
      </c>
      <c r="G17" s="1">
        <f t="shared" si="6"/>
        <v>396.36</v>
      </c>
      <c r="H17" s="1">
        <f t="shared" si="6"/>
        <v>528.48</v>
      </c>
      <c r="I17" s="1">
        <f t="shared" si="6"/>
        <v>660.6</v>
      </c>
      <c r="J17" s="1">
        <f t="shared" si="6"/>
        <v>792.72</v>
      </c>
      <c r="K17" s="1">
        <f t="shared" si="6"/>
        <v>1056.96</v>
      </c>
      <c r="L17" s="1">
        <f t="shared" si="6"/>
        <v>1321.2</v>
      </c>
      <c r="M17" s="1">
        <f t="shared" si="6"/>
        <v>1585.44</v>
      </c>
      <c r="N17" s="1">
        <f t="shared" si="6"/>
        <v>1849.68</v>
      </c>
      <c r="O17" s="1">
        <f t="shared" si="6"/>
        <v>2113.92</v>
      </c>
      <c r="P17" s="1">
        <f t="shared" si="6"/>
        <v>2378.16</v>
      </c>
      <c r="Q17" s="1">
        <f t="shared" si="6"/>
        <v>2642.4</v>
      </c>
      <c r="R17" s="1">
        <f t="shared" si="6"/>
        <v>2642.4</v>
      </c>
      <c r="S17" s="1">
        <f t="shared" si="6"/>
        <v>2642.4</v>
      </c>
      <c r="T17" s="1">
        <f t="shared" si="6"/>
        <v>2642.4</v>
      </c>
      <c r="U17" s="1">
        <f t="shared" si="6"/>
        <v>2642.4</v>
      </c>
      <c r="V17" s="1">
        <f t="shared" si="6"/>
        <v>2642.4</v>
      </c>
      <c r="W17" s="1">
        <f t="shared" si="6"/>
        <v>2642.4</v>
      </c>
      <c r="X17" s="1">
        <f t="shared" si="6"/>
        <v>2642.4</v>
      </c>
      <c r="Y17" s="1">
        <f t="shared" si="6"/>
        <v>2642.4</v>
      </c>
      <c r="Z17" s="1">
        <f t="shared" si="6"/>
        <v>2642.4</v>
      </c>
      <c r="AA17" s="1">
        <f t="shared" si="6"/>
        <v>2642.4</v>
      </c>
      <c r="AB17" s="1">
        <f t="shared" si="6"/>
        <v>2642.4</v>
      </c>
    </row>
    <row r="18" spans="2:28">
      <c r="B18" t="s">
        <v>41</v>
      </c>
      <c r="D18" s="1">
        <f>D12</f>
        <v>-2826.2</v>
      </c>
      <c r="E18" s="1">
        <f t="shared" ref="E18:AB18" si="7">E12</f>
        <v>-2685.3199999999997</v>
      </c>
      <c r="F18" s="1">
        <f t="shared" si="7"/>
        <v>-2403.5599999999995</v>
      </c>
      <c r="G18" s="1">
        <f t="shared" si="7"/>
        <v>-1980.9199999999996</v>
      </c>
      <c r="H18" s="1">
        <f t="shared" si="7"/>
        <v>-1417.3999999999996</v>
      </c>
      <c r="I18" s="1">
        <f t="shared" si="7"/>
        <v>-712.99999999999966</v>
      </c>
      <c r="J18" s="1">
        <f t="shared" si="7"/>
        <v>132.28000000000031</v>
      </c>
      <c r="K18" s="1">
        <f t="shared" si="7"/>
        <v>1259.3200000000002</v>
      </c>
      <c r="L18" s="1">
        <f t="shared" si="7"/>
        <v>2668.12</v>
      </c>
      <c r="M18" s="1">
        <f t="shared" si="7"/>
        <v>4358.68</v>
      </c>
      <c r="N18" s="1">
        <f t="shared" si="7"/>
        <v>6331</v>
      </c>
      <c r="O18" s="1">
        <f t="shared" si="7"/>
        <v>8585.08</v>
      </c>
      <c r="P18" s="1">
        <f t="shared" si="7"/>
        <v>11120.92</v>
      </c>
      <c r="Q18" s="1">
        <f t="shared" si="7"/>
        <v>13938.52</v>
      </c>
      <c r="R18" s="1">
        <f t="shared" si="7"/>
        <v>16756.12</v>
      </c>
      <c r="S18" s="1">
        <f t="shared" si="7"/>
        <v>19573.719999999998</v>
      </c>
      <c r="T18" s="1">
        <f t="shared" si="7"/>
        <v>22391.319999999996</v>
      </c>
      <c r="U18" s="1">
        <f t="shared" si="7"/>
        <v>25208.919999999995</v>
      </c>
      <c r="V18" s="1">
        <f t="shared" si="7"/>
        <v>28026.519999999993</v>
      </c>
      <c r="W18" s="1">
        <f t="shared" si="7"/>
        <v>30844.119999999992</v>
      </c>
      <c r="X18" s="1">
        <f t="shared" si="7"/>
        <v>33661.719999999994</v>
      </c>
      <c r="Y18" s="1">
        <f t="shared" si="7"/>
        <v>36479.319999999992</v>
      </c>
      <c r="Z18" s="1">
        <f t="shared" si="7"/>
        <v>39296.919999999991</v>
      </c>
      <c r="AA18" s="1">
        <f t="shared" si="7"/>
        <v>42114.51999999999</v>
      </c>
      <c r="AB18" s="1">
        <f t="shared" si="7"/>
        <v>44932.119999999988</v>
      </c>
    </row>
    <row r="19" spans="2:28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>
      <c r="C20" s="14" t="s">
        <v>64</v>
      </c>
      <c r="D20" s="4" t="str">
        <f>IF(ISERROR(INDEX($15:$15,MATCH(1,INDEX(--($D18:$AB18&gt;0),0),0)+3)),"",INDEX($15:$15,MATCH(1,INDEX(--($D18:$AB18&gt;0),0),0)+3))</f>
        <v>6</v>
      </c>
    </row>
    <row r="22" spans="2:28">
      <c r="C22" s="17" t="s">
        <v>60</v>
      </c>
    </row>
  </sheetData>
  <pageMargins left="0.25" right="0.25" top="0.75" bottom="0.75" header="0.3" footer="0.3"/>
  <pageSetup paperSize="5" scale="5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Summary Financials</vt:lpstr>
      <vt:lpstr>Startup Invest. &amp; Annual Costs</vt:lpstr>
      <vt:lpstr>Drug &amp; Service Assumptions</vt:lpstr>
      <vt:lpstr>All Treatments by Month</vt:lpstr>
      <vt:lpstr>Reslizumab by Mo</vt:lpstr>
      <vt:lpstr>IVIG by Mo</vt:lpstr>
      <vt:lpstr>IV Steroid by Mo</vt:lpstr>
      <vt:lpstr>Annual_Cost_Yr1_T1</vt:lpstr>
      <vt:lpstr>Annual_Cost_Yr1_T2</vt:lpstr>
      <vt:lpstr>Annual_Cost_Yr1_T3</vt:lpstr>
      <vt:lpstr>Annual_Cost_Yr2_T1</vt:lpstr>
      <vt:lpstr>Annual_Cost_Yr2_T2</vt:lpstr>
      <vt:lpstr>Annual_Cost_Yr2_T3</vt:lpstr>
      <vt:lpstr>BE_All_Treatments</vt:lpstr>
      <vt:lpstr>'Reslizumab by Mo'!BE_Treatment_1</vt:lpstr>
      <vt:lpstr>'IVIG by Mo'!BE_Treatment_2</vt:lpstr>
      <vt:lpstr>'IV Steroid by Mo'!BE_Treatment_3</vt:lpstr>
      <vt:lpstr>Capital_Investment_1</vt:lpstr>
      <vt:lpstr>Capital_Investment_2</vt:lpstr>
      <vt:lpstr>Capital_Investment_3</vt:lpstr>
      <vt:lpstr>Cost_1</vt:lpstr>
      <vt:lpstr>Cost_2</vt:lpstr>
      <vt:lpstr>Cost_3</vt:lpstr>
      <vt:lpstr>Price_1</vt:lpstr>
      <vt:lpstr>Price_2</vt:lpstr>
      <vt:lpstr>Price_3</vt:lpstr>
      <vt:lpstr>Startup_Investment</vt:lpstr>
      <vt:lpstr>Startup_Investment1</vt:lpstr>
      <vt:lpstr>Startup_Investment2</vt:lpstr>
      <vt:lpstr>Startup_Investment3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Hallagan</dc:creator>
  <cp:lastModifiedBy>hitech</cp:lastModifiedBy>
  <cp:lastPrinted>2017-04-21T21:08:23Z</cp:lastPrinted>
  <dcterms:created xsi:type="dcterms:W3CDTF">2017-04-05T13:42:01Z</dcterms:created>
  <dcterms:modified xsi:type="dcterms:W3CDTF">2017-05-12T14:00:10Z</dcterms:modified>
</cp:coreProperties>
</file>